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<sst xmlns="http://schemas.openxmlformats.org/spreadsheetml/2006/main" count="454" uniqueCount="352">
  <si>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</si>
  <si>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</si>
  <si>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</si>
  <si>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</si>
  <si>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</si>
  <si>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</si>
  <si>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</si>
  <si>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</si>
  <si>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</si>
  <si>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</si>
  <si>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</si>
  <si>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</si>
  <si>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</si>
  <si>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</si>
  <si>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</si>
  <si>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</si>
  <si>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</si>
  <si>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</si>
  <si>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</si>
  <si>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</si>
  <si>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</si>
  <si>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</si>
  <si>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</si>
  <si>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</si>
  <si>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</si>
  <si>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</si>
  <si>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</si>
  <si>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</si>
  <si>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</si>
  <si>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</si>
  <si>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</si>
  <si>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</si>
  <si>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</si>
  <si>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</si>
  <si>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</si>
  <si>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</si>
  <si>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</si>
  <si>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</si>
  <si>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</si>
  <si>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</si>
  <si>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</si>
  <si>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</si>
  <si>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</si>
  <si>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</si>
  <si>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</si>
  <si>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</si>
  <si>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</si>
  <si>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</si>
  <si>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</si>
  <si>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</si>
  <si>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</si>
  <si>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</si>
  <si>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</si>
  <si>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</si>
  <si>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</si>
  <si>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</si>
  <si>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</si>
  <si>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</si>
  <si>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</si>
  <si>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</si>
  <si>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</si>
  <si>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</si>
  <si>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</si>
  <si>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</si>
  <si>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</si>
  <si>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</si>
  <si>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</si>
  <si>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</si>
  <si>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</si>
  <si>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</si>
  <si>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</si>
  <si>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</si>
  <si>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</si>
  <si>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</si>
  <si>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</si>
  <si>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</si>
  <si>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</si>
  <si>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</si>
  <si>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</si>
  <si>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</si>
  <si>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</si>
  <si>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</si>
  <si>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</si>
  <si>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</si>
  <si>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</si>
  <si>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</si>
  <si>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</si>
  <si>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</si>
  <si>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</si>
  <si>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</si>
  <si>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</si>
  <si>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</si>
  <si>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</si>
  <si>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</si>
  <si>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</si>
  <si>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</si>
  <si>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</si>
  <si>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</si>
  <si>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</si>
  <si>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</si>
  <si>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</si>
  <si>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</si>
  <si>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</si>
  <si>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</si>
  <si>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</si>
  <si>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</si>
  <si>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</si>
  <si>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</si>
  <si>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</si>
  <si>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t>Okolehao (Reinstated 2025-2026)</t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</si>
  <si>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</si>
  <si>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</si>
  <si>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</si>
  <si>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</si>
  <si>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</si>
  <si>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</si>
  <si>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</si>
  <si>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</si>
  <si>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</si>
  <si>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</si>
  <si>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</si>
  <si>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</si>
  <si>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</si>
  <si>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</si>
  <si>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</si>
  <si>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</si>
  <si>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</si>
  <si>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</si>
  <si>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</si>
  <si>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</si>
  <si>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</si>
  <si>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</si>
  <si>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</si>
  <si>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</si>
  <si>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</si>
  <si>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</si>
  <si>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</si>
  <si>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</si>
  <si>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</si>
  <si>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</si>
  <si>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</si>
  <si>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</si>
  <si>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</si>
  <si>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</si>
  <si>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</si>
  <si>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</si>
  <si>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</si>
  <si>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</si>
  <si>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</si>
  <si>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</si>
  <si>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</si>
  <si>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</si>
  <si>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</si>
  <si>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</si>
  <si>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</si>
  <si>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</si>
  <si>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</si>
  <si>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</si>
  <si>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</si>
  <si>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</si>
  <si>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</si>
  <si>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</si>
  <si>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</si>
  <si>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</si>
  <si>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</si>
  <si>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</si>
  <si>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</si>
  <si>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</si>
  <si>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</si>
  <si>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</si>
  <si>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</si>
  <si>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</si>
  <si>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</si>
  <si>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</si>
  <si>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</si>
  <si>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</si>
  <si>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</si>
  <si>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</si>
  <si>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</si>
  <si>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</si>
  <si>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</si>
  <si>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</si>
  <si>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</si>
  <si>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</si>
  <si>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</si>
  <si>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</si>
  <si>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</si>
  <si>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</si>
  <si>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</si>
  <si>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</si>
  <si>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</si>
  <si>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</si>
  <si>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</si>
  <si>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</si>
  <si>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</si>
  <si>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</si>
  <si>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</si>
  <si>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</si>
  <si>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</si>
  <si>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</si>
  <si>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</si>
  <si>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</si>
  <si>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</si>
  <si>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</si>
  <si>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</si>
  <si>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</si>
  <si>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</si>
  <si>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</si>
  <si>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</si>
  <si>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</si>
  <si>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</si>
  <si>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</si>
  <si>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</si>
  <si>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</si>
  <si>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</si>
  <si>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</si>
  <si>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</si>
  <si>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</si>
  <si>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</si>
  <si>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</si>
  <si>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</si>
  <si>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</si>
  <si>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</si>
  <si>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</si>
  <si>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</si>
  <si>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</si>
  <si>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DEFUNCT 17 FEB 2026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</si>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</sst>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2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7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 readingOrder="0"/>
    </xf>
    <xf borderId="11" fillId="2" fontId="6" numFmtId="0" xfId="0" applyAlignment="1" applyBorder="1" applyFont="1">
      <alignment horizontal="center"/>
    </xf>
    <xf borderId="10" fillId="2" fontId="6" numFmtId="1" xfId="0" applyAlignment="1" applyBorder="1" applyFont="1" applyNumberFormat="1">
      <alignment horizontal="center"/>
    </xf>
    <xf borderId="8" fillId="0" fontId="8" numFmtId="0" xfId="0" applyAlignment="1" applyBorder="1" applyFont="1">
      <alignment horizontal="center"/>
    </xf>
    <xf borderId="12" fillId="2" fontId="6" numFmtId="0" xfId="0" applyAlignment="1" applyBorder="1" applyFont="1">
      <alignment horizontal="center"/>
    </xf>
    <xf borderId="5" fillId="2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6" numFmtId="1" xfId="0" applyAlignment="1" applyBorder="1" applyFont="1" applyNumberFormat="1">
      <alignment horizontal="center" readingOrder="0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5" fillId="2" fontId="6" numFmtId="1" xfId="0" applyAlignment="1" applyBorder="1" applyFont="1" applyNumberFormat="1">
      <alignment horizontal="center"/>
    </xf>
    <xf borderId="5" fillId="2" fontId="6" numFmtId="0" xfId="0" applyAlignment="1" applyBorder="1" applyFont="1">
      <alignment horizont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0" fillId="4" fontId="1" numFmtId="0" xfId="0" applyAlignment="1" applyFill="1" applyFont="1">
      <alignment horizontal="center"/>
    </xf>
    <xf borderId="0" fillId="4" fontId="4" numFmtId="0" xfId="0" applyAlignment="1" applyFont="1">
      <alignment horizontal="center"/>
    </xf>
    <xf borderId="0" fillId="4" fontId="6" numFmtId="1" xfId="0" applyAlignment="1" applyFont="1" applyNumberFormat="1">
      <alignment horizontal="center"/>
    </xf>
    <xf borderId="8" fillId="4" fontId="6" numFmtId="0" xfId="0" applyAlignment="1" applyBorder="1" applyFont="1">
      <alignment horizontal="center"/>
    </xf>
    <xf borderId="8" fillId="4" fontId="6" numFmtId="10" xfId="0" applyAlignment="1" applyBorder="1" applyFont="1" applyNumberFormat="1">
      <alignment horizontal="center"/>
    </xf>
    <xf borderId="8" fillId="4" fontId="6" numFmtId="1" xfId="0" applyAlignment="1" applyBorder="1" applyFont="1" applyNumberFormat="1">
      <alignment horizontal="center"/>
    </xf>
    <xf borderId="8" fillId="4" fontId="6" numFmtId="0" xfId="0" applyAlignment="1" applyBorder="1" applyFont="1">
      <alignment horizontal="center" readingOrder="0"/>
    </xf>
    <xf borderId="13" fillId="4" fontId="6" numFmtId="1" xfId="0" applyAlignment="1" applyBorder="1" applyFont="1" applyNumberFormat="1">
      <alignment horizontal="center"/>
    </xf>
    <xf borderId="0" fillId="4" fontId="6" numFmtId="0" xfId="0" applyAlignment="1" applyFont="1">
      <alignment horizontal="center"/>
    </xf>
    <xf borderId="7" fillId="4" fontId="6" numFmtId="0" xfId="0" applyAlignment="1" applyBorder="1" applyFont="1">
      <alignment horizontal="center" readingOrder="0"/>
    </xf>
    <xf borderId="7" fillId="4" fontId="6" numFmtId="1" xfId="0" applyAlignment="1" applyBorder="1" applyFont="1" applyNumberFormat="1">
      <alignment horizontal="center" readingOrder="0"/>
    </xf>
    <xf borderId="8" fillId="4" fontId="6" numFmtId="1" xfId="0" applyAlignment="1" applyBorder="1" applyFont="1" applyNumberFormat="1">
      <alignment horizontal="center" readingOrder="0"/>
    </xf>
    <xf borderId="14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 readingOrder="0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14" fillId="0" fontId="6" numFmtId="1" xfId="0" applyAlignment="1" applyBorder="1" applyFont="1" applyNumberFormat="1">
      <alignment horizontal="center"/>
    </xf>
    <xf borderId="17" fillId="2" fontId="6" numFmtId="0" xfId="0" applyAlignment="1" applyBorder="1" applyFont="1">
      <alignment horizontal="center"/>
    </xf>
    <xf borderId="18" fillId="2" fontId="6" numFmtId="1" xfId="0" applyAlignment="1" applyBorder="1" applyFont="1" applyNumberFormat="1">
      <alignment horizontal="center"/>
    </xf>
    <xf borderId="8" fillId="5" fontId="7" numFmtId="0" xfId="0" applyAlignment="1" applyBorder="1" applyFill="1" applyFont="1">
      <alignment horizontal="center" readingOrder="0"/>
    </xf>
    <xf borderId="8" fillId="5" fontId="6" numFmtId="0" xfId="0" applyAlignment="1" applyBorder="1" applyFont="1">
      <alignment horizontal="center" readingOrder="0"/>
    </xf>
    <xf borderId="19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9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6" fontId="6" numFmtId="0" xfId="0" applyAlignment="1" applyBorder="1" applyFill="1" applyFont="1">
      <alignment horizontal="center"/>
    </xf>
    <xf borderId="8" fillId="7" fontId="6" numFmtId="0" xfId="0" applyAlignment="1" applyBorder="1" applyFill="1" applyFont="1">
      <alignment horizontal="center" readingOrder="0"/>
    </xf>
    <xf borderId="8" fillId="7" fontId="6" numFmtId="0" xfId="0" applyAlignment="1" applyBorder="1" applyFont="1">
      <alignment horizontal="center"/>
    </xf>
    <xf borderId="8" fillId="7" fontId="6" numFmtId="10" xfId="0" applyAlignment="1" applyBorder="1" applyFont="1" applyNumberFormat="1">
      <alignment horizontal="center"/>
    </xf>
    <xf borderId="8" fillId="7" fontId="6" numFmtId="1" xfId="0" applyAlignment="1" applyBorder="1" applyFont="1" applyNumberFormat="1">
      <alignment horizontal="center"/>
    </xf>
    <xf borderId="9" fillId="7" fontId="6" numFmtId="1" xfId="0" applyAlignment="1" applyBorder="1" applyFont="1" applyNumberFormat="1">
      <alignment horizontal="center"/>
    </xf>
    <xf borderId="0" fillId="7" fontId="4" numFmtId="0" xfId="0" applyAlignment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20.14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21</v>
      </c>
      <c r="J12" s="18">
        <v>6.0</v>
      </c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18">
        <v>31.0</v>
      </c>
      <c r="F29" s="21">
        <f t="shared" ref="F29:F32" si="75">E29+1</f>
        <v>32</v>
      </c>
      <c r="G29" s="22">
        <f t="shared" ref="G29:G32" si="76">$BH29/F29</f>
        <v>0.84375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18">
        <v>3.0</v>
      </c>
      <c r="O29" s="18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/>
      <c r="BC29" s="21"/>
      <c r="BD29" s="25">
        <f t="shared" ref="BD29:BD32" si="88">SUM(AZ29:BC29)</f>
        <v>14</v>
      </c>
      <c r="BE29" s="21"/>
      <c r="BF29" s="18">
        <v>13.0</v>
      </c>
      <c r="BG29" s="21"/>
      <c r="BH29" s="25">
        <f t="shared" ref="BH29:BH32" si="89">SUM(BD29:BG29)</f>
        <v>27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18">
        <v>58.0</v>
      </c>
      <c r="F30" s="21">
        <f t="shared" si="75"/>
        <v>59</v>
      </c>
      <c r="G30" s="22">
        <f t="shared" si="76"/>
        <v>0.9661016949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18">
        <v>1.0</v>
      </c>
      <c r="AX30" s="18">
        <v>21.0</v>
      </c>
      <c r="AY30" s="21"/>
      <c r="AZ30" s="25">
        <f t="shared" si="87"/>
        <v>46</v>
      </c>
      <c r="BA30" s="21"/>
      <c r="BB30" s="18">
        <v>11.0</v>
      </c>
      <c r="BC30" s="21"/>
      <c r="BD30" s="25">
        <f t="shared" si="88"/>
        <v>57</v>
      </c>
      <c r="BE30" s="21"/>
      <c r="BF30" s="21"/>
      <c r="BG30" s="21"/>
      <c r="BH30" s="25">
        <f t="shared" si="89"/>
        <v>57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18">
        <v>40.0</v>
      </c>
      <c r="F31" s="21">
        <f t="shared" si="75"/>
        <v>41</v>
      </c>
      <c r="G31" s="22">
        <f t="shared" si="76"/>
        <v>0.9756097561</v>
      </c>
      <c r="H31" s="25">
        <v>6.0</v>
      </c>
      <c r="I31" s="25">
        <f t="shared" si="77"/>
        <v>8</v>
      </c>
      <c r="J31" s="18">
        <v>2.0</v>
      </c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18">
        <v>3.0</v>
      </c>
      <c r="BB31" s="21"/>
      <c r="BC31" s="18">
        <v>1.0</v>
      </c>
      <c r="BD31" s="25">
        <f t="shared" si="88"/>
        <v>27</v>
      </c>
      <c r="BE31" s="18">
        <v>2.0</v>
      </c>
      <c r="BF31" s="18">
        <v>11.0</v>
      </c>
      <c r="BG31" s="21"/>
      <c r="BH31" s="25">
        <f t="shared" si="89"/>
        <v>40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1.117647059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18">
        <v>1.0</v>
      </c>
      <c r="BB32" s="21"/>
      <c r="BC32" s="21"/>
      <c r="BD32" s="25">
        <f t="shared" si="88"/>
        <v>38</v>
      </c>
      <c r="BE32" s="21"/>
      <c r="BF32" s="21"/>
      <c r="BG32" s="21"/>
      <c r="BH32" s="25">
        <f t="shared" si="89"/>
        <v>38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1</v>
      </c>
      <c r="AX33" s="21">
        <f t="shared" si="99"/>
        <v>36</v>
      </c>
      <c r="AY33" s="21">
        <f t="shared" si="99"/>
        <v>0</v>
      </c>
      <c r="AZ33" s="21">
        <f>SUM(AZ28:AZ32)</f>
        <v>120</v>
      </c>
      <c r="BA33" s="21">
        <f t="shared" ref="BA33:BC33" si="100">SUM(BA29:BA32)</f>
        <v>4</v>
      </c>
      <c r="BB33" s="21">
        <f t="shared" si="100"/>
        <v>11</v>
      </c>
      <c r="BC33" s="21">
        <f t="shared" si="100"/>
        <v>1</v>
      </c>
      <c r="BD33" s="21">
        <f>SUM(BD28:BD32)</f>
        <v>136</v>
      </c>
      <c r="BE33" s="21">
        <f t="shared" ref="BE33:BG33" si="101">SUM(BE29:BE32)</f>
        <v>2</v>
      </c>
      <c r="BF33" s="21">
        <f t="shared" si="101"/>
        <v>24</v>
      </c>
      <c r="BG33" s="21">
        <f t="shared" si="101"/>
        <v>0</v>
      </c>
      <c r="BH33" s="21">
        <f>SUM(BH28:BH32)</f>
        <v>162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162</v>
      </c>
      <c r="F34" s="21">
        <f>SUM(E28:E33)+1</f>
        <v>163</v>
      </c>
      <c r="G34" s="22">
        <f>$BH33/F34</f>
        <v>0.9938650307</v>
      </c>
      <c r="H34" s="25">
        <f t="shared" ref="H34:J34" si="102">SUM(H28:H32)</f>
        <v>45</v>
      </c>
      <c r="I34" s="25">
        <f t="shared" si="102"/>
        <v>47</v>
      </c>
      <c r="J34" s="25">
        <f t="shared" si="102"/>
        <v>2</v>
      </c>
      <c r="K34" s="21"/>
      <c r="L34" s="21"/>
      <c r="M34" s="21"/>
      <c r="N34" s="21"/>
      <c r="O34" s="21"/>
      <c r="P34" s="22">
        <f>P33/F34</f>
        <v>0.3496932515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0.3496932515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0.509202454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0.509202454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0.509202454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0.509202454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0.509202454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0.509202454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0.509202454</v>
      </c>
      <c r="AW34" s="21">
        <f t="shared" ref="AW34:AY34" si="111">AS34+AW33</f>
        <v>1</v>
      </c>
      <c r="AX34" s="21">
        <f t="shared" si="111"/>
        <v>74</v>
      </c>
      <c r="AY34" s="21">
        <f t="shared" si="111"/>
        <v>0</v>
      </c>
      <c r="AZ34" s="22">
        <f>AZ33/F34</f>
        <v>0.736196319</v>
      </c>
      <c r="BA34" s="21">
        <f t="shared" ref="BA34:BC34" si="112">AW34+BA33</f>
        <v>5</v>
      </c>
      <c r="BB34" s="21">
        <f t="shared" si="112"/>
        <v>85</v>
      </c>
      <c r="BC34" s="21">
        <f t="shared" si="112"/>
        <v>1</v>
      </c>
      <c r="BD34" s="22">
        <f>BD33/F34</f>
        <v>0.8343558282</v>
      </c>
      <c r="BE34" s="21">
        <f t="shared" ref="BE34:BG34" si="113">BA34+BE33</f>
        <v>7</v>
      </c>
      <c r="BF34" s="21">
        <f t="shared" si="113"/>
        <v>109</v>
      </c>
      <c r="BG34" s="21">
        <f t="shared" si="113"/>
        <v>1</v>
      </c>
      <c r="BH34" s="22">
        <f>BH33/F34</f>
        <v>0.9938650307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23</v>
      </c>
      <c r="J38" s="46">
        <v>2.0</v>
      </c>
      <c r="K38" s="47">
        <v>2027.0</v>
      </c>
      <c r="L38" s="24">
        <v>2026.0</v>
      </c>
      <c r="M38" s="43"/>
      <c r="N38" s="43"/>
      <c r="O38" s="43"/>
      <c r="P38" s="48">
        <f t="shared" si="117"/>
        <v>21</v>
      </c>
      <c r="Q38" s="43">
        <v>2.0</v>
      </c>
      <c r="R38" s="43">
        <v>22.0</v>
      </c>
      <c r="S38" s="43"/>
      <c r="T38" s="48">
        <f t="shared" si="118"/>
        <v>45</v>
      </c>
      <c r="U38" s="43">
        <v>2.0</v>
      </c>
      <c r="V38" s="43"/>
      <c r="W38" s="43"/>
      <c r="X38" s="48">
        <f t="shared" si="119"/>
        <v>47</v>
      </c>
      <c r="Y38" s="43">
        <v>1.0</v>
      </c>
      <c r="Z38" s="43"/>
      <c r="AA38" s="43"/>
      <c r="AB38" s="48">
        <f t="shared" si="120"/>
        <v>48</v>
      </c>
      <c r="AC38" s="43"/>
      <c r="AD38" s="43"/>
      <c r="AE38" s="43"/>
      <c r="AF38" s="48">
        <f t="shared" si="121"/>
        <v>48</v>
      </c>
      <c r="AG38" s="43"/>
      <c r="AH38" s="43"/>
      <c r="AI38" s="43"/>
      <c r="AJ38" s="48">
        <f t="shared" si="122"/>
        <v>48</v>
      </c>
      <c r="AK38" s="43"/>
      <c r="AL38" s="43"/>
      <c r="AM38" s="43"/>
      <c r="AN38" s="48">
        <f t="shared" si="123"/>
        <v>48</v>
      </c>
      <c r="AO38" s="43"/>
      <c r="AP38" s="43"/>
      <c r="AQ38" s="43"/>
      <c r="AR38" s="48">
        <f t="shared" si="124"/>
        <v>48</v>
      </c>
      <c r="AS38" s="43"/>
      <c r="AT38" s="43"/>
      <c r="AU38" s="43"/>
      <c r="AV38" s="48">
        <f t="shared" si="125"/>
        <v>48</v>
      </c>
      <c r="AW38" s="43"/>
      <c r="AX38" s="43"/>
      <c r="AY38" s="43"/>
      <c r="AZ38" s="48">
        <f t="shared" si="126"/>
        <v>48</v>
      </c>
      <c r="BA38" s="43"/>
      <c r="BB38" s="43"/>
      <c r="BC38" s="43"/>
      <c r="BD38" s="48">
        <f t="shared" si="127"/>
        <v>48</v>
      </c>
      <c r="BE38" s="43"/>
      <c r="BF38" s="43"/>
      <c r="BG38" s="43"/>
      <c r="BH38" s="48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9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50"/>
      <c r="B40" s="40" t="s">
        <v>56</v>
      </c>
      <c r="C40" s="40">
        <v>23.0</v>
      </c>
      <c r="D40" s="51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49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49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49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49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60</v>
      </c>
      <c r="J47" s="55">
        <v>4.0</v>
      </c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6" t="s">
        <v>64</v>
      </c>
      <c r="B48" s="57" t="s">
        <v>65</v>
      </c>
      <c r="C48" s="21">
        <v>77.0</v>
      </c>
      <c r="D48" s="49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8"/>
      <c r="L48" s="59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6" t="s">
        <v>64</v>
      </c>
      <c r="B49" s="60" t="s">
        <v>66</v>
      </c>
      <c r="C49" s="18">
        <v>79.0</v>
      </c>
      <c r="D49" s="49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55">
        <v>2.0</v>
      </c>
      <c r="K49" s="58"/>
      <c r="L49" s="59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/>
      <c r="C50" s="35"/>
      <c r="D50" s="35"/>
      <c r="E50" s="35"/>
      <c r="F50" s="35"/>
      <c r="G50" s="28"/>
      <c r="H50" s="61"/>
      <c r="I50" s="61"/>
      <c r="J50" s="39"/>
      <c r="K50" s="62"/>
      <c r="L50" s="62"/>
      <c r="M50" s="35"/>
      <c r="N50" s="35"/>
      <c r="O50" s="35"/>
      <c r="P50" s="25"/>
      <c r="Q50" s="35"/>
      <c r="R50" s="35"/>
      <c r="S50" s="35"/>
      <c r="T50" s="63"/>
      <c r="U50" s="35"/>
      <c r="V50" s="35"/>
      <c r="W50" s="35"/>
      <c r="X50" s="63"/>
      <c r="Y50" s="35"/>
      <c r="Z50" s="35"/>
      <c r="AA50" s="35"/>
      <c r="AB50" s="63"/>
      <c r="AC50" s="35"/>
      <c r="AD50" s="35"/>
      <c r="AE50" s="35"/>
      <c r="AF50" s="63"/>
      <c r="AG50" s="35"/>
      <c r="AH50" s="35"/>
      <c r="AI50" s="35"/>
      <c r="AJ50" s="63"/>
      <c r="AK50" s="35"/>
      <c r="AL50" s="35"/>
      <c r="AM50" s="35"/>
      <c r="AN50" s="63"/>
      <c r="AO50" s="35"/>
      <c r="AP50" s="35"/>
      <c r="AQ50" s="35"/>
      <c r="AR50" s="63"/>
      <c r="AS50" s="35"/>
      <c r="AT50" s="35"/>
      <c r="AU50" s="35"/>
      <c r="AV50" s="63"/>
      <c r="AW50" s="35"/>
      <c r="AX50" s="35"/>
      <c r="AY50" s="35"/>
      <c r="AZ50" s="63"/>
      <c r="BA50" s="35"/>
      <c r="BB50" s="35"/>
      <c r="BC50" s="35"/>
      <c r="BD50" s="63"/>
      <c r="BE50" s="35"/>
      <c r="BF50" s="35"/>
      <c r="BG50" s="35"/>
      <c r="BH50" s="63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</row>
    <row r="51">
      <c r="A51" s="35"/>
      <c r="B51" s="35" t="s">
        <v>35</v>
      </c>
      <c r="C51" s="35">
        <f>COUNT(C37:C48)</f>
        <v>12</v>
      </c>
      <c r="D51" s="35"/>
      <c r="E51" s="35">
        <f>SUM(E36:E48)</f>
        <v>427</v>
      </c>
      <c r="F51" s="35">
        <f>SUM(E37:E48)+1</f>
        <v>428</v>
      </c>
      <c r="G51" s="22">
        <f>$BH49/F51</f>
        <v>0</v>
      </c>
      <c r="H51" s="39">
        <f t="shared" ref="H51:I51" si="130">SUM(H37:H48)</f>
        <v>277</v>
      </c>
      <c r="I51" s="39">
        <f t="shared" si="130"/>
        <v>285</v>
      </c>
      <c r="J51" s="39">
        <f>SUM(J36:J49)</f>
        <v>10</v>
      </c>
      <c r="K51" s="35"/>
      <c r="L51" s="35"/>
      <c r="M51" s="35"/>
      <c r="N51" s="35"/>
      <c r="O51" s="35"/>
      <c r="P51" s="63">
        <f>P49/F51</f>
        <v>0</v>
      </c>
      <c r="Q51" s="35">
        <f t="shared" ref="Q51:S51" si="131">M49+Q49</f>
        <v>0</v>
      </c>
      <c r="R51" s="35">
        <f t="shared" si="131"/>
        <v>0</v>
      </c>
      <c r="S51" s="35">
        <f t="shared" si="131"/>
        <v>0</v>
      </c>
      <c r="T51" s="63">
        <f>T49/F51</f>
        <v>0</v>
      </c>
      <c r="U51" s="35">
        <f t="shared" ref="U51:W51" si="132">Q51+U49</f>
        <v>0</v>
      </c>
      <c r="V51" s="35">
        <f t="shared" si="132"/>
        <v>0</v>
      </c>
      <c r="W51" s="35">
        <f t="shared" si="132"/>
        <v>0</v>
      </c>
      <c r="X51" s="63">
        <f>X49/F51</f>
        <v>0</v>
      </c>
      <c r="Y51" s="35">
        <f t="shared" ref="Y51:AA51" si="133">U51+Y49</f>
        <v>0</v>
      </c>
      <c r="Z51" s="35">
        <f t="shared" si="133"/>
        <v>0</v>
      </c>
      <c r="AA51" s="35">
        <f t="shared" si="133"/>
        <v>0</v>
      </c>
      <c r="AB51" s="63">
        <f>AB49/F51</f>
        <v>0</v>
      </c>
      <c r="AC51" s="35">
        <f t="shared" ref="AC51:AE51" si="134">Y51+AC49</f>
        <v>0</v>
      </c>
      <c r="AD51" s="35">
        <f t="shared" si="134"/>
        <v>0</v>
      </c>
      <c r="AE51" s="35">
        <f t="shared" si="134"/>
        <v>0</v>
      </c>
      <c r="AF51" s="63">
        <f>AF49/F51</f>
        <v>0</v>
      </c>
      <c r="AG51" s="35">
        <f t="shared" ref="AG51:AI51" si="135">AC51+AG49</f>
        <v>0</v>
      </c>
      <c r="AH51" s="35">
        <f t="shared" si="135"/>
        <v>0</v>
      </c>
      <c r="AI51" s="35">
        <f t="shared" si="135"/>
        <v>0</v>
      </c>
      <c r="AJ51" s="63">
        <f>AJ49/F51</f>
        <v>0</v>
      </c>
      <c r="AK51" s="35">
        <f t="shared" ref="AK51:AM51" si="136">AG51+AK49</f>
        <v>0</v>
      </c>
      <c r="AL51" s="35">
        <f t="shared" si="136"/>
        <v>0</v>
      </c>
      <c r="AM51" s="35">
        <f t="shared" si="136"/>
        <v>0</v>
      </c>
      <c r="AN51" s="63">
        <f>AN49/F51</f>
        <v>0</v>
      </c>
      <c r="AO51" s="35">
        <f t="shared" ref="AO51:AQ51" si="137">AK51+AO49</f>
        <v>0</v>
      </c>
      <c r="AP51" s="35">
        <f t="shared" si="137"/>
        <v>0</v>
      </c>
      <c r="AQ51" s="35">
        <f t="shared" si="137"/>
        <v>0</v>
      </c>
      <c r="AR51" s="63">
        <f>AR49/F51</f>
        <v>0</v>
      </c>
      <c r="AS51" s="35">
        <f t="shared" ref="AS51:AU51" si="138">AO51+AS49</f>
        <v>0</v>
      </c>
      <c r="AT51" s="35">
        <f t="shared" si="138"/>
        <v>0</v>
      </c>
      <c r="AU51" s="35">
        <f t="shared" si="138"/>
        <v>0</v>
      </c>
      <c r="AV51" s="63">
        <f>AV49/F51</f>
        <v>0</v>
      </c>
      <c r="AW51" s="35">
        <f t="shared" ref="AW51:AY51" si="139">AS51+AW49</f>
        <v>0</v>
      </c>
      <c r="AX51" s="35">
        <f t="shared" si="139"/>
        <v>0</v>
      </c>
      <c r="AY51" s="35">
        <f t="shared" si="139"/>
        <v>0</v>
      </c>
      <c r="AZ51" s="63">
        <f>AZ49/F51</f>
        <v>0</v>
      </c>
      <c r="BA51" s="35">
        <f t="shared" ref="BA51:BC51" si="140">AW51+BA49</f>
        <v>0</v>
      </c>
      <c r="BB51" s="35">
        <f t="shared" si="140"/>
        <v>0</v>
      </c>
      <c r="BC51" s="35">
        <f t="shared" si="140"/>
        <v>0</v>
      </c>
      <c r="BD51" s="63">
        <f>BD49/F51</f>
        <v>0</v>
      </c>
      <c r="BE51" s="35">
        <f t="shared" ref="BE51:BG51" si="141">BA51+BE49</f>
        <v>0</v>
      </c>
      <c r="BF51" s="35">
        <f t="shared" si="141"/>
        <v>0</v>
      </c>
      <c r="BG51" s="35">
        <f t="shared" si="141"/>
        <v>0</v>
      </c>
      <c r="BH51" s="63">
        <f>BH49/F51</f>
        <v>0</v>
      </c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</row>
    <row r="52">
      <c r="A52" s="50"/>
      <c r="B52" s="50"/>
      <c r="C52" s="50"/>
      <c r="D52" s="50"/>
      <c r="E52" s="50"/>
      <c r="F52" s="50"/>
      <c r="G52" s="50"/>
      <c r="H52" s="65"/>
      <c r="I52" s="65"/>
      <c r="J52" s="65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66" t="s">
        <v>67</v>
      </c>
      <c r="B53" s="35"/>
      <c r="C53" s="35"/>
      <c r="D53" s="35"/>
      <c r="E53" s="35"/>
      <c r="F53" s="35"/>
      <c r="G53" s="63"/>
      <c r="H53" s="39"/>
      <c r="I53" s="39"/>
      <c r="J53" s="39"/>
      <c r="K53" s="35">
        <v>2025.0</v>
      </c>
      <c r="L53" s="35">
        <v>2025.0</v>
      </c>
      <c r="M53" s="35"/>
      <c r="N53" s="35"/>
      <c r="O53" s="35"/>
      <c r="P53" s="39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>
      <c r="A54" s="35"/>
      <c r="B54" s="35" t="s">
        <v>68</v>
      </c>
      <c r="C54" s="35">
        <v>1.0</v>
      </c>
      <c r="D54" s="36" t="s">
        <v>69</v>
      </c>
      <c r="E54" s="35">
        <v>33.0</v>
      </c>
      <c r="F54" s="35">
        <f t="shared" ref="F54:F58" si="142">E54+1</f>
        <v>34</v>
      </c>
      <c r="G54" s="63">
        <f t="shared" ref="G54:G58" si="143">$BH54/F54</f>
        <v>1</v>
      </c>
      <c r="H54" s="39">
        <v>15.0</v>
      </c>
      <c r="I54" s="38">
        <f t="shared" ref="I54:I58" si="144">+H54+J54</f>
        <v>15</v>
      </c>
      <c r="J54" s="39"/>
      <c r="K54" s="35">
        <v>2027.0</v>
      </c>
      <c r="L54" s="35">
        <v>2026.0</v>
      </c>
      <c r="M54" s="35"/>
      <c r="N54" s="35"/>
      <c r="O54" s="35"/>
      <c r="P54" s="39">
        <f t="shared" ref="P54:P58" si="145">H54+SUM(M54:O54)</f>
        <v>15</v>
      </c>
      <c r="Q54" s="35"/>
      <c r="R54" s="35"/>
      <c r="S54" s="35"/>
      <c r="T54" s="39">
        <f t="shared" ref="T54:T58" si="146">SUM(P54:S54)</f>
        <v>15</v>
      </c>
      <c r="U54" s="35"/>
      <c r="V54" s="35"/>
      <c r="W54" s="35"/>
      <c r="X54" s="39">
        <f t="shared" ref="X54:X58" si="147">SUM(T54:W54)</f>
        <v>15</v>
      </c>
      <c r="Y54" s="35"/>
      <c r="Z54" s="35"/>
      <c r="AA54" s="35"/>
      <c r="AB54" s="39">
        <f t="shared" ref="AB54:AB58" si="148">SUM(X54:AA54)</f>
        <v>15</v>
      </c>
      <c r="AC54" s="35"/>
      <c r="AD54" s="35"/>
      <c r="AE54" s="35"/>
      <c r="AF54" s="39">
        <f t="shared" ref="AF54:AF58" si="149">SUM(AB54:AE54)</f>
        <v>15</v>
      </c>
      <c r="AG54" s="35"/>
      <c r="AH54" s="35"/>
      <c r="AI54" s="35"/>
      <c r="AJ54" s="39">
        <f t="shared" ref="AJ54:AJ58" si="150">SUM(AF54:AI54)</f>
        <v>15</v>
      </c>
      <c r="AK54" s="35"/>
      <c r="AL54" s="35"/>
      <c r="AM54" s="35"/>
      <c r="AN54" s="39">
        <f t="shared" ref="AN54:AN58" si="151">SUM(AJ54:AM54)</f>
        <v>15</v>
      </c>
      <c r="AO54" s="35"/>
      <c r="AP54" s="35"/>
      <c r="AQ54" s="35"/>
      <c r="AR54" s="39">
        <f t="shared" ref="AR54:AR58" si="152">SUM(AN54:AQ54)</f>
        <v>15</v>
      </c>
      <c r="AS54" s="35"/>
      <c r="AT54" s="35"/>
      <c r="AU54" s="35"/>
      <c r="AV54" s="39">
        <f t="shared" ref="AV54:AV58" si="153">SUM(AR54:AU54)</f>
        <v>15</v>
      </c>
      <c r="AW54" s="35"/>
      <c r="AX54" s="35"/>
      <c r="AY54" s="35"/>
      <c r="AZ54" s="39">
        <f t="shared" ref="AZ54:AZ58" si="154">SUM(AV54:AY54)</f>
        <v>15</v>
      </c>
      <c r="BA54" s="67">
        <v>2.0</v>
      </c>
      <c r="BB54" s="41">
        <v>17.0</v>
      </c>
      <c r="BC54" s="35"/>
      <c r="BD54" s="39">
        <f t="shared" ref="BD54:BD58" si="155">SUM(AZ54:BC54)</f>
        <v>34</v>
      </c>
      <c r="BE54" s="35"/>
      <c r="BF54" s="35"/>
      <c r="BG54" s="35"/>
      <c r="BH54" s="39">
        <f t="shared" ref="BH54:BH58" si="156">SUM(BD54:BG54)</f>
        <v>34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70</v>
      </c>
      <c r="C55" s="35">
        <v>2.0</v>
      </c>
      <c r="D55" s="36">
        <v>3917.0</v>
      </c>
      <c r="E55" s="35">
        <v>43.0</v>
      </c>
      <c r="F55" s="35">
        <f t="shared" si="142"/>
        <v>44</v>
      </c>
      <c r="G55" s="63">
        <f t="shared" si="143"/>
        <v>1.022727273</v>
      </c>
      <c r="H55" s="39">
        <v>24.0</v>
      </c>
      <c r="I55" s="38">
        <f t="shared" si="144"/>
        <v>24</v>
      </c>
      <c r="J55" s="39"/>
      <c r="K55" s="35">
        <v>2027.0</v>
      </c>
      <c r="L55" s="35">
        <v>2025.0</v>
      </c>
      <c r="M55" s="35"/>
      <c r="N55" s="35"/>
      <c r="O55" s="35"/>
      <c r="P55" s="39">
        <f t="shared" si="145"/>
        <v>24</v>
      </c>
      <c r="Q55" s="35"/>
      <c r="R55" s="35"/>
      <c r="S55" s="35"/>
      <c r="T55" s="39">
        <f t="shared" si="146"/>
        <v>24</v>
      </c>
      <c r="U55" s="35"/>
      <c r="V55" s="35"/>
      <c r="W55" s="35"/>
      <c r="X55" s="39">
        <f t="shared" si="147"/>
        <v>24</v>
      </c>
      <c r="Y55" s="35"/>
      <c r="Z55" s="35"/>
      <c r="AA55" s="35"/>
      <c r="AB55" s="39">
        <f t="shared" si="148"/>
        <v>24</v>
      </c>
      <c r="AC55" s="35"/>
      <c r="AD55" s="35"/>
      <c r="AE55" s="35"/>
      <c r="AF55" s="39">
        <f t="shared" si="149"/>
        <v>24</v>
      </c>
      <c r="AG55" s="35"/>
      <c r="AH55" s="35"/>
      <c r="AI55" s="35"/>
      <c r="AJ55" s="39">
        <f t="shared" si="150"/>
        <v>24</v>
      </c>
      <c r="AK55" s="35"/>
      <c r="AL55" s="35"/>
      <c r="AM55" s="35"/>
      <c r="AN55" s="39">
        <f t="shared" si="151"/>
        <v>24</v>
      </c>
      <c r="AO55" s="35"/>
      <c r="AP55" s="35"/>
      <c r="AQ55" s="35"/>
      <c r="AR55" s="39">
        <f t="shared" si="152"/>
        <v>24</v>
      </c>
      <c r="AS55" s="35"/>
      <c r="AT55" s="35"/>
      <c r="AU55" s="35"/>
      <c r="AV55" s="39">
        <f t="shared" si="153"/>
        <v>24</v>
      </c>
      <c r="AW55" s="35"/>
      <c r="AX55" s="35"/>
      <c r="AY55" s="35"/>
      <c r="AZ55" s="39">
        <f t="shared" si="154"/>
        <v>24</v>
      </c>
      <c r="BA55" s="67">
        <v>3.0</v>
      </c>
      <c r="BB55" s="41">
        <v>18.0</v>
      </c>
      <c r="BC55" s="35"/>
      <c r="BD55" s="39">
        <f t="shared" si="155"/>
        <v>45</v>
      </c>
      <c r="BE55" s="35"/>
      <c r="BF55" s="35"/>
      <c r="BG55" s="35"/>
      <c r="BH55" s="39">
        <f t="shared" si="156"/>
        <v>45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71</v>
      </c>
      <c r="C56" s="35">
        <v>7.0</v>
      </c>
      <c r="D56" s="36"/>
      <c r="E56" s="35">
        <v>10.0</v>
      </c>
      <c r="F56" s="35">
        <f t="shared" si="142"/>
        <v>11</v>
      </c>
      <c r="G56" s="63">
        <f t="shared" si="143"/>
        <v>0.9090909091</v>
      </c>
      <c r="H56" s="39">
        <v>4.0</v>
      </c>
      <c r="I56" s="38">
        <f t="shared" si="144"/>
        <v>4</v>
      </c>
      <c r="J56" s="39"/>
      <c r="K56" s="35">
        <v>2025.0</v>
      </c>
      <c r="L56" s="35">
        <v>2026.0</v>
      </c>
      <c r="M56" s="35"/>
      <c r="N56" s="35"/>
      <c r="O56" s="35"/>
      <c r="P56" s="39">
        <f t="shared" si="145"/>
        <v>4</v>
      </c>
      <c r="Q56" s="35"/>
      <c r="R56" s="35"/>
      <c r="S56" s="35"/>
      <c r="T56" s="39">
        <f t="shared" si="146"/>
        <v>4</v>
      </c>
      <c r="U56" s="35"/>
      <c r="V56" s="35"/>
      <c r="W56" s="35"/>
      <c r="X56" s="39">
        <f t="shared" si="147"/>
        <v>4</v>
      </c>
      <c r="Y56" s="35"/>
      <c r="Z56" s="35"/>
      <c r="AA56" s="35"/>
      <c r="AB56" s="39">
        <f t="shared" si="148"/>
        <v>4</v>
      </c>
      <c r="AC56" s="35"/>
      <c r="AD56" s="35"/>
      <c r="AE56" s="35"/>
      <c r="AF56" s="39">
        <f t="shared" si="149"/>
        <v>4</v>
      </c>
      <c r="AG56" s="35"/>
      <c r="AH56" s="35"/>
      <c r="AI56" s="35"/>
      <c r="AJ56" s="39">
        <f t="shared" si="150"/>
        <v>4</v>
      </c>
      <c r="AK56" s="35"/>
      <c r="AL56" s="35"/>
      <c r="AM56" s="35"/>
      <c r="AN56" s="39">
        <f t="shared" si="151"/>
        <v>4</v>
      </c>
      <c r="AO56" s="35"/>
      <c r="AP56" s="35"/>
      <c r="AQ56" s="35"/>
      <c r="AR56" s="39">
        <f t="shared" si="152"/>
        <v>4</v>
      </c>
      <c r="AS56" s="35"/>
      <c r="AT56" s="35"/>
      <c r="AU56" s="35"/>
      <c r="AV56" s="39">
        <f t="shared" si="153"/>
        <v>4</v>
      </c>
      <c r="AW56" s="35"/>
      <c r="AX56" s="35"/>
      <c r="AY56" s="35"/>
      <c r="AZ56" s="39">
        <f t="shared" si="154"/>
        <v>4</v>
      </c>
      <c r="BB56" s="41">
        <v>6.0</v>
      </c>
      <c r="BC56" s="35"/>
      <c r="BD56" s="39">
        <f t="shared" si="155"/>
        <v>10</v>
      </c>
      <c r="BE56" s="35"/>
      <c r="BF56" s="35"/>
      <c r="BG56" s="35"/>
      <c r="BH56" s="39">
        <f t="shared" si="156"/>
        <v>10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72</v>
      </c>
      <c r="C57" s="35">
        <v>14.0</v>
      </c>
      <c r="D57" s="36" t="s">
        <v>73</v>
      </c>
      <c r="E57" s="35">
        <v>19.0</v>
      </c>
      <c r="F57" s="35">
        <f t="shared" si="142"/>
        <v>20</v>
      </c>
      <c r="G57" s="63">
        <f t="shared" si="143"/>
        <v>0.85</v>
      </c>
      <c r="H57" s="39">
        <v>13.0</v>
      </c>
      <c r="I57" s="38">
        <f t="shared" si="144"/>
        <v>16</v>
      </c>
      <c r="J57" s="39">
        <v>3.0</v>
      </c>
      <c r="K57" s="35">
        <v>2027.0</v>
      </c>
      <c r="L57" s="35">
        <v>2026.0</v>
      </c>
      <c r="M57" s="35"/>
      <c r="N57" s="35"/>
      <c r="O57" s="35"/>
      <c r="P57" s="39">
        <f t="shared" si="145"/>
        <v>13</v>
      </c>
      <c r="Q57" s="35"/>
      <c r="R57" s="35"/>
      <c r="S57" s="35"/>
      <c r="T57" s="39">
        <f t="shared" si="146"/>
        <v>13</v>
      </c>
      <c r="U57" s="35"/>
      <c r="V57" s="35"/>
      <c r="W57" s="35"/>
      <c r="X57" s="39">
        <f t="shared" si="147"/>
        <v>13</v>
      </c>
      <c r="Y57" s="35"/>
      <c r="Z57" s="35"/>
      <c r="AA57" s="35"/>
      <c r="AB57" s="39">
        <f t="shared" si="148"/>
        <v>13</v>
      </c>
      <c r="AC57" s="35"/>
      <c r="AD57" s="35"/>
      <c r="AE57" s="35"/>
      <c r="AF57" s="39">
        <f t="shared" si="149"/>
        <v>13</v>
      </c>
      <c r="AG57" s="35"/>
      <c r="AH57" s="35"/>
      <c r="AI57" s="35"/>
      <c r="AJ57" s="39">
        <f t="shared" si="150"/>
        <v>13</v>
      </c>
      <c r="AK57" s="35"/>
      <c r="AL57" s="35"/>
      <c r="AM57" s="35"/>
      <c r="AN57" s="39">
        <f t="shared" si="151"/>
        <v>13</v>
      </c>
      <c r="AO57" s="35"/>
      <c r="AP57" s="35"/>
      <c r="AQ57" s="35"/>
      <c r="AR57" s="39">
        <f t="shared" si="152"/>
        <v>13</v>
      </c>
      <c r="AS57" s="35"/>
      <c r="AT57" s="35"/>
      <c r="AU57" s="35"/>
      <c r="AV57" s="39">
        <f t="shared" si="153"/>
        <v>13</v>
      </c>
      <c r="AW57" s="35"/>
      <c r="AX57" s="35"/>
      <c r="AY57" s="35"/>
      <c r="AZ57" s="39">
        <f t="shared" si="154"/>
        <v>13</v>
      </c>
      <c r="BB57" s="41">
        <v>4.0</v>
      </c>
      <c r="BC57" s="35"/>
      <c r="BD57" s="39">
        <f t="shared" si="155"/>
        <v>17</v>
      </c>
      <c r="BE57" s="35"/>
      <c r="BF57" s="35"/>
      <c r="BG57" s="35"/>
      <c r="BH57" s="39">
        <f t="shared" si="156"/>
        <v>17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 t="s">
        <v>74</v>
      </c>
      <c r="C58" s="35">
        <v>19.0</v>
      </c>
      <c r="D58" s="36">
        <v>6491.0</v>
      </c>
      <c r="E58" s="35">
        <v>15.0</v>
      </c>
      <c r="F58" s="35">
        <f t="shared" si="142"/>
        <v>16</v>
      </c>
      <c r="G58" s="63">
        <f t="shared" si="143"/>
        <v>0.9375</v>
      </c>
      <c r="H58" s="39">
        <v>2.0</v>
      </c>
      <c r="I58" s="38">
        <f t="shared" si="144"/>
        <v>2</v>
      </c>
      <c r="J58" s="39"/>
      <c r="K58" s="35">
        <v>2025.0</v>
      </c>
      <c r="L58" s="35">
        <v>2026.0</v>
      </c>
      <c r="M58" s="35"/>
      <c r="N58" s="35"/>
      <c r="O58" s="35"/>
      <c r="P58" s="39">
        <f t="shared" si="145"/>
        <v>2</v>
      </c>
      <c r="Q58" s="35"/>
      <c r="R58" s="35"/>
      <c r="S58" s="35"/>
      <c r="T58" s="39">
        <f t="shared" si="146"/>
        <v>2</v>
      </c>
      <c r="U58" s="35"/>
      <c r="V58" s="35"/>
      <c r="W58" s="35"/>
      <c r="X58" s="39">
        <f t="shared" si="147"/>
        <v>2</v>
      </c>
      <c r="Y58" s="35"/>
      <c r="Z58" s="35"/>
      <c r="AA58" s="35"/>
      <c r="AB58" s="39">
        <f t="shared" si="148"/>
        <v>2</v>
      </c>
      <c r="AC58" s="35"/>
      <c r="AD58" s="35"/>
      <c r="AE58" s="35"/>
      <c r="AF58" s="39">
        <f t="shared" si="149"/>
        <v>2</v>
      </c>
      <c r="AG58" s="35"/>
      <c r="AH58" s="35"/>
      <c r="AI58" s="35"/>
      <c r="AJ58" s="39">
        <f t="shared" si="150"/>
        <v>2</v>
      </c>
      <c r="AK58" s="35"/>
      <c r="AL58" s="35"/>
      <c r="AM58" s="35"/>
      <c r="AN58" s="39">
        <f t="shared" si="151"/>
        <v>2</v>
      </c>
      <c r="AO58" s="35"/>
      <c r="AP58" s="35"/>
      <c r="AQ58" s="35"/>
      <c r="AR58" s="39">
        <f t="shared" si="152"/>
        <v>2</v>
      </c>
      <c r="AS58" s="35"/>
      <c r="AT58" s="35"/>
      <c r="AU58" s="35"/>
      <c r="AV58" s="39">
        <f t="shared" si="153"/>
        <v>2</v>
      </c>
      <c r="AW58" s="35"/>
      <c r="AX58" s="35"/>
      <c r="AY58" s="35"/>
      <c r="AZ58" s="39">
        <f t="shared" si="154"/>
        <v>2</v>
      </c>
      <c r="BA58" s="41">
        <v>13.0</v>
      </c>
      <c r="BB58" s="35"/>
      <c r="BC58" s="35"/>
      <c r="BD58" s="39">
        <f t="shared" si="155"/>
        <v>15</v>
      </c>
      <c r="BE58" s="35"/>
      <c r="BF58" s="35"/>
      <c r="BG58" s="35"/>
      <c r="BH58" s="39">
        <f t="shared" si="156"/>
        <v>15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/>
      <c r="C59" s="35"/>
      <c r="D59" s="35"/>
      <c r="E59" s="35"/>
      <c r="F59" s="35"/>
      <c r="G59" s="35"/>
      <c r="H59" s="39"/>
      <c r="I59" s="39"/>
      <c r="J59" s="39"/>
      <c r="K59" s="35"/>
      <c r="L59" s="35"/>
      <c r="M59" s="35">
        <f t="shared" ref="M59:O59" si="157">SUM(M54:M58)</f>
        <v>0</v>
      </c>
      <c r="N59" s="35">
        <f t="shared" si="157"/>
        <v>0</v>
      </c>
      <c r="O59" s="35">
        <f t="shared" si="157"/>
        <v>0</v>
      </c>
      <c r="P59" s="39">
        <f>SUM(P53:P58)</f>
        <v>58</v>
      </c>
      <c r="Q59" s="35">
        <f t="shared" ref="Q59:S59" si="158">SUM(Q54:Q58)</f>
        <v>0</v>
      </c>
      <c r="R59" s="35">
        <f t="shared" si="158"/>
        <v>0</v>
      </c>
      <c r="S59" s="35">
        <f t="shared" si="158"/>
        <v>0</v>
      </c>
      <c r="T59" s="35">
        <f>SUM(T53:T58)</f>
        <v>58</v>
      </c>
      <c r="U59" s="35">
        <f t="shared" ref="U59:W59" si="159">SUM(U54:U58)</f>
        <v>0</v>
      </c>
      <c r="V59" s="35">
        <f t="shared" si="159"/>
        <v>0</v>
      </c>
      <c r="W59" s="35">
        <f t="shared" si="159"/>
        <v>0</v>
      </c>
      <c r="X59" s="39">
        <f>SUM(X54:X58)+E53</f>
        <v>58</v>
      </c>
      <c r="Y59" s="35">
        <f t="shared" ref="Y59:AA59" si="160">SUM(Y54:Y58)</f>
        <v>0</v>
      </c>
      <c r="Z59" s="35">
        <f t="shared" si="160"/>
        <v>0</v>
      </c>
      <c r="AA59" s="35">
        <f t="shared" si="160"/>
        <v>0</v>
      </c>
      <c r="AB59" s="39">
        <f>SUM(AB54:AB58)+E53</f>
        <v>58</v>
      </c>
      <c r="AC59" s="35">
        <f t="shared" ref="AC59:AE59" si="161">SUM(AC54:AC58)</f>
        <v>0</v>
      </c>
      <c r="AD59" s="35">
        <f t="shared" si="161"/>
        <v>0</v>
      </c>
      <c r="AE59" s="35">
        <f t="shared" si="161"/>
        <v>0</v>
      </c>
      <c r="AF59" s="39">
        <f>SUM(AF54:AF58)+25</f>
        <v>83</v>
      </c>
      <c r="AG59" s="35">
        <f t="shared" ref="AG59:AI59" si="162">SUM(AG54:AG58)</f>
        <v>0</v>
      </c>
      <c r="AH59" s="35">
        <f t="shared" si="162"/>
        <v>0</v>
      </c>
      <c r="AI59" s="35">
        <f t="shared" si="162"/>
        <v>0</v>
      </c>
      <c r="AJ59" s="39">
        <f>SUM(AJ54:AJ58)+E53</f>
        <v>58</v>
      </c>
      <c r="AK59" s="35">
        <f t="shared" ref="AK59:AM59" si="163">SUM(AK54:AK58)</f>
        <v>0</v>
      </c>
      <c r="AL59" s="35">
        <f t="shared" si="163"/>
        <v>0</v>
      </c>
      <c r="AM59" s="35">
        <f t="shared" si="163"/>
        <v>0</v>
      </c>
      <c r="AN59" s="39">
        <f>SUM(AN54:AN58)+E53</f>
        <v>58</v>
      </c>
      <c r="AO59" s="35">
        <f t="shared" ref="AO59:AQ59" si="164">SUM(AO54:AO58)</f>
        <v>0</v>
      </c>
      <c r="AP59" s="35">
        <f t="shared" si="164"/>
        <v>0</v>
      </c>
      <c r="AQ59" s="35">
        <f t="shared" si="164"/>
        <v>0</v>
      </c>
      <c r="AR59" s="39">
        <f>SUM(AR54:AR58)+E53</f>
        <v>58</v>
      </c>
      <c r="AS59" s="35">
        <f t="shared" ref="AS59:AU59" si="165">SUM(AS54:AS58)</f>
        <v>0</v>
      </c>
      <c r="AT59" s="35">
        <f t="shared" si="165"/>
        <v>0</v>
      </c>
      <c r="AU59" s="35">
        <f t="shared" si="165"/>
        <v>0</v>
      </c>
      <c r="AV59" s="39">
        <f>SUM(AV54:AV58)+E53</f>
        <v>58</v>
      </c>
      <c r="AW59" s="35">
        <f t="shared" ref="AW59:AY59" si="166">SUM(AW54:AW58)</f>
        <v>0</v>
      </c>
      <c r="AX59" s="35">
        <f t="shared" si="166"/>
        <v>0</v>
      </c>
      <c r="AY59" s="35">
        <f t="shared" si="166"/>
        <v>0</v>
      </c>
      <c r="AZ59" s="39">
        <f>SUM(AZ54:AZ58)+E53</f>
        <v>58</v>
      </c>
      <c r="BA59" s="35">
        <f t="shared" ref="BA59:BC59" si="167">SUM(BA54:BA58)</f>
        <v>18</v>
      </c>
      <c r="BB59" s="35">
        <f t="shared" si="167"/>
        <v>45</v>
      </c>
      <c r="BC59" s="35">
        <f t="shared" si="167"/>
        <v>0</v>
      </c>
      <c r="BD59" s="39">
        <f>SUM(BD54:BD58)+E53</f>
        <v>121</v>
      </c>
      <c r="BE59" s="35">
        <f t="shared" ref="BE59:BG59" si="168">SUM(BE54:BE58)</f>
        <v>0</v>
      </c>
      <c r="BF59" s="35">
        <f t="shared" si="168"/>
        <v>0</v>
      </c>
      <c r="BG59" s="35">
        <f t="shared" si="168"/>
        <v>0</v>
      </c>
      <c r="BH59" s="39">
        <f>SUM(BH54:BH58)+E53</f>
        <v>121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</row>
    <row r="60" ht="15.75" customHeight="1">
      <c r="A60" s="35"/>
      <c r="B60" s="35" t="s">
        <v>35</v>
      </c>
      <c r="C60" s="35">
        <f>COUNT(C54:C58)</f>
        <v>5</v>
      </c>
      <c r="D60" s="35"/>
      <c r="E60" s="35">
        <f>SUM(E53:E58)</f>
        <v>120</v>
      </c>
      <c r="F60" s="35">
        <f>SUM(E53:E58)+1</f>
        <v>121</v>
      </c>
      <c r="G60" s="63">
        <f>$BH59/F60</f>
        <v>1</v>
      </c>
      <c r="H60" s="39">
        <f t="shared" ref="H60:J60" si="169">SUM(H53:H58)</f>
        <v>58</v>
      </c>
      <c r="I60" s="39">
        <f t="shared" si="169"/>
        <v>61</v>
      </c>
      <c r="J60" s="39">
        <f t="shared" si="169"/>
        <v>3</v>
      </c>
      <c r="K60" s="35"/>
      <c r="L60" s="35"/>
      <c r="M60" s="35"/>
      <c r="N60" s="35"/>
      <c r="O60" s="35"/>
      <c r="P60" s="63">
        <f>P59/F60</f>
        <v>0.479338843</v>
      </c>
      <c r="Q60" s="35">
        <f t="shared" ref="Q60:S60" si="170">M59+Q59</f>
        <v>0</v>
      </c>
      <c r="R60" s="35">
        <f t="shared" si="170"/>
        <v>0</v>
      </c>
      <c r="S60" s="35">
        <f t="shared" si="170"/>
        <v>0</v>
      </c>
      <c r="T60" s="63">
        <f>T59/F60</f>
        <v>0.479338843</v>
      </c>
      <c r="U60" s="35">
        <f t="shared" ref="U60:W60" si="171">Q60+U59</f>
        <v>0</v>
      </c>
      <c r="V60" s="35">
        <f t="shared" si="171"/>
        <v>0</v>
      </c>
      <c r="W60" s="35">
        <f t="shared" si="171"/>
        <v>0</v>
      </c>
      <c r="X60" s="63">
        <f>X59/F60</f>
        <v>0.479338843</v>
      </c>
      <c r="Y60" s="35">
        <f t="shared" ref="Y60:AA60" si="172">U60+Y59</f>
        <v>0</v>
      </c>
      <c r="Z60" s="35">
        <f t="shared" si="172"/>
        <v>0</v>
      </c>
      <c r="AA60" s="35">
        <f t="shared" si="172"/>
        <v>0</v>
      </c>
      <c r="AB60" s="63">
        <f>AB59/F60</f>
        <v>0.479338843</v>
      </c>
      <c r="AC60" s="35">
        <f t="shared" ref="AC60:AE60" si="173">Y60+AC59</f>
        <v>0</v>
      </c>
      <c r="AD60" s="35">
        <f t="shared" si="173"/>
        <v>0</v>
      </c>
      <c r="AE60" s="35">
        <f t="shared" si="173"/>
        <v>0</v>
      </c>
      <c r="AF60" s="63">
        <f>AF59/F60</f>
        <v>0.6859504132</v>
      </c>
      <c r="AG60" s="35">
        <f t="shared" ref="AG60:AI60" si="174">AC60+AG59</f>
        <v>0</v>
      </c>
      <c r="AH60" s="35">
        <f t="shared" si="174"/>
        <v>0</v>
      </c>
      <c r="AI60" s="35">
        <f t="shared" si="174"/>
        <v>0</v>
      </c>
      <c r="AJ60" s="63">
        <f>AJ59/F60</f>
        <v>0.479338843</v>
      </c>
      <c r="AK60" s="35">
        <f t="shared" ref="AK60:AM60" si="175">AG60+AK59</f>
        <v>0</v>
      </c>
      <c r="AL60" s="35">
        <f t="shared" si="175"/>
        <v>0</v>
      </c>
      <c r="AM60" s="35">
        <f t="shared" si="175"/>
        <v>0</v>
      </c>
      <c r="AN60" s="63">
        <f>AN59/F60</f>
        <v>0.479338843</v>
      </c>
      <c r="AO60" s="35">
        <f t="shared" ref="AO60:AQ60" si="176">AK60+AO59</f>
        <v>0</v>
      </c>
      <c r="AP60" s="35">
        <f t="shared" si="176"/>
        <v>0</v>
      </c>
      <c r="AQ60" s="35">
        <f t="shared" si="176"/>
        <v>0</v>
      </c>
      <c r="AR60" s="63">
        <f>AR59/F60</f>
        <v>0.479338843</v>
      </c>
      <c r="AS60" s="35">
        <f t="shared" ref="AS60:AU60" si="177">AO60+AS59</f>
        <v>0</v>
      </c>
      <c r="AT60" s="35">
        <f t="shared" si="177"/>
        <v>0</v>
      </c>
      <c r="AU60" s="35">
        <f t="shared" si="177"/>
        <v>0</v>
      </c>
      <c r="AV60" s="63">
        <f>AV59/F60</f>
        <v>0.479338843</v>
      </c>
      <c r="AW60" s="35">
        <f t="shared" ref="AW60:AY60" si="178">AS60+AW59</f>
        <v>0</v>
      </c>
      <c r="AX60" s="35">
        <f t="shared" si="178"/>
        <v>0</v>
      </c>
      <c r="AY60" s="35">
        <f t="shared" si="178"/>
        <v>0</v>
      </c>
      <c r="AZ60" s="63">
        <f>AZ59/F60</f>
        <v>0.479338843</v>
      </c>
      <c r="BA60" s="35">
        <f t="shared" ref="BA60:BC60" si="179">AW60+BA59</f>
        <v>18</v>
      </c>
      <c r="BB60" s="35">
        <f t="shared" si="179"/>
        <v>45</v>
      </c>
      <c r="BC60" s="35">
        <f t="shared" si="179"/>
        <v>0</v>
      </c>
      <c r="BD60" s="63">
        <f>BD59/F60</f>
        <v>1</v>
      </c>
      <c r="BE60" s="35">
        <f t="shared" ref="BE60:BG60" si="180">BA60+BE59</f>
        <v>18</v>
      </c>
      <c r="BF60" s="35">
        <f t="shared" si="180"/>
        <v>45</v>
      </c>
      <c r="BG60" s="35">
        <f t="shared" si="180"/>
        <v>0</v>
      </c>
      <c r="BH60" s="63">
        <f>BH59/F60</f>
        <v>1</v>
      </c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</row>
    <row r="61">
      <c r="A61" s="27"/>
      <c r="B61" s="24"/>
      <c r="C61" s="24"/>
      <c r="D61" s="24"/>
      <c r="E61" s="24"/>
      <c r="F61" s="24"/>
      <c r="G61" s="28"/>
      <c r="H61" s="23"/>
      <c r="I61" s="23"/>
      <c r="J61" s="23"/>
      <c r="K61" s="24"/>
      <c r="L61" s="24"/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7" t="s">
        <v>75</v>
      </c>
      <c r="B62" s="24"/>
      <c r="C62" s="24"/>
      <c r="D62" s="24"/>
      <c r="E62" s="24"/>
      <c r="F62" s="24"/>
      <c r="G62" s="28"/>
      <c r="H62" s="23"/>
      <c r="I62" s="23"/>
      <c r="J62" s="23"/>
      <c r="K62" s="24">
        <v>2027.0</v>
      </c>
      <c r="L62" s="24">
        <v>2025.0</v>
      </c>
      <c r="M62" s="24"/>
      <c r="N62" s="24"/>
      <c r="O62" s="24"/>
      <c r="P62" s="23"/>
      <c r="Q62" s="24"/>
      <c r="R62" s="24"/>
      <c r="S62" s="24"/>
      <c r="T62" s="21"/>
      <c r="U62" s="24"/>
      <c r="V62" s="24"/>
      <c r="W62" s="24"/>
      <c r="X62" s="21"/>
      <c r="Y62" s="24"/>
      <c r="Z62" s="24"/>
      <c r="AA62" s="24"/>
      <c r="AB62" s="21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21" t="s">
        <v>76</v>
      </c>
      <c r="C63" s="21">
        <v>1.0</v>
      </c>
      <c r="D63" s="21">
        <v>2863.0</v>
      </c>
      <c r="E63" s="18">
        <v>29.0</v>
      </c>
      <c r="F63" s="21">
        <f t="shared" ref="F63:F65" si="181">E63+1</f>
        <v>30</v>
      </c>
      <c r="G63" s="28">
        <f t="shared" ref="G63:G65" si="182">$BH63/F63</f>
        <v>1.033333333</v>
      </c>
      <c r="H63" s="23">
        <v>29.0</v>
      </c>
      <c r="I63" s="23">
        <f t="shared" ref="I63:I65" si="183">+H63+J63</f>
        <v>29</v>
      </c>
      <c r="J63" s="25"/>
      <c r="K63" s="24">
        <v>2027.0</v>
      </c>
      <c r="L63" s="24">
        <v>2026.0</v>
      </c>
      <c r="M63" s="21"/>
      <c r="N63" s="21"/>
      <c r="O63" s="21"/>
      <c r="P63" s="25">
        <f t="shared" ref="P63:P65" si="184">+H63+SUM(M63:O63)</f>
        <v>29</v>
      </c>
      <c r="Q63" s="21"/>
      <c r="R63" s="21"/>
      <c r="S63" s="21"/>
      <c r="T63" s="25">
        <f t="shared" ref="T63:T65" si="185">SUM(P63:S63)</f>
        <v>29</v>
      </c>
      <c r="U63" s="21"/>
      <c r="V63" s="21"/>
      <c r="W63" s="21"/>
      <c r="X63" s="25">
        <f t="shared" ref="X63:X65" si="186">SUM(T63:W63)</f>
        <v>29</v>
      </c>
      <c r="Y63" s="21"/>
      <c r="Z63" s="21"/>
      <c r="AA63" s="21"/>
      <c r="AB63" s="25">
        <f t="shared" ref="AB63:AB65" si="187">SUM(X63:AA63)</f>
        <v>29</v>
      </c>
      <c r="AC63" s="21"/>
      <c r="AD63" s="21"/>
      <c r="AE63" s="21"/>
      <c r="AF63" s="25">
        <f t="shared" ref="AF63:AF65" si="188">SUM(AB63:AE63)</f>
        <v>29</v>
      </c>
      <c r="AG63" s="21"/>
      <c r="AH63" s="21"/>
      <c r="AI63" s="21"/>
      <c r="AJ63" s="25">
        <f t="shared" ref="AJ63:AJ65" si="189">SUM(AF63:AI63)</f>
        <v>29</v>
      </c>
      <c r="AK63" s="21"/>
      <c r="AL63" s="21"/>
      <c r="AM63" s="21"/>
      <c r="AN63" s="25">
        <f t="shared" ref="AN63:AN65" si="190">SUM(AJ63:AM63)</f>
        <v>29</v>
      </c>
      <c r="AO63" s="21"/>
      <c r="AP63" s="21"/>
      <c r="AQ63" s="21"/>
      <c r="AR63" s="25">
        <f t="shared" ref="AR63:AR65" si="191">SUM(AN63:AQ63)</f>
        <v>29</v>
      </c>
      <c r="AS63" s="21"/>
      <c r="AT63" s="21"/>
      <c r="AU63" s="21"/>
      <c r="AV63" s="25">
        <f t="shared" ref="AV63:AV65" si="192">SUM(AR63:AU63)</f>
        <v>29</v>
      </c>
      <c r="AW63" s="21"/>
      <c r="AX63" s="21"/>
      <c r="AY63" s="21"/>
      <c r="AZ63" s="25">
        <f t="shared" ref="AZ63:AZ65" si="193">SUM(AV63:AY63)</f>
        <v>29</v>
      </c>
      <c r="BA63" s="18"/>
      <c r="BB63" s="21"/>
      <c r="BC63" s="18">
        <v>2.0</v>
      </c>
      <c r="BD63" s="25">
        <f t="shared" ref="BD63:BD65" si="194">SUM(AZ63:BC63)</f>
        <v>31</v>
      </c>
      <c r="BE63" s="21"/>
      <c r="BF63" s="21"/>
      <c r="BG63" s="21"/>
      <c r="BH63" s="25">
        <f t="shared" ref="BH63:BH65" si="195">SUM(BD63:BG63)</f>
        <v>31</v>
      </c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>
      <c r="A64" s="21"/>
      <c r="B64" s="35" t="s">
        <v>77</v>
      </c>
      <c r="C64" s="35">
        <v>2.0</v>
      </c>
      <c r="D64" s="35">
        <v>3238.0</v>
      </c>
      <c r="E64" s="36">
        <v>35.0</v>
      </c>
      <c r="F64" s="21">
        <f t="shared" si="181"/>
        <v>36</v>
      </c>
      <c r="G64" s="37">
        <f t="shared" si="182"/>
        <v>1</v>
      </c>
      <c r="H64" s="38">
        <v>21.0</v>
      </c>
      <c r="I64" s="38">
        <f t="shared" si="183"/>
        <v>21</v>
      </c>
      <c r="J64" s="39"/>
      <c r="K64" s="40">
        <v>2027.0</v>
      </c>
      <c r="L64" s="24">
        <v>2025.0</v>
      </c>
      <c r="M64" s="35"/>
      <c r="N64" s="35"/>
      <c r="O64" s="35"/>
      <c r="P64" s="39">
        <f t="shared" si="184"/>
        <v>21</v>
      </c>
      <c r="Q64" s="35">
        <v>1.0</v>
      </c>
      <c r="R64" s="35">
        <v>14.0</v>
      </c>
      <c r="S64" s="35"/>
      <c r="T64" s="39">
        <f t="shared" si="185"/>
        <v>36</v>
      </c>
      <c r="U64" s="35"/>
      <c r="V64" s="35"/>
      <c r="W64" s="35"/>
      <c r="X64" s="39">
        <f t="shared" si="186"/>
        <v>36</v>
      </c>
      <c r="Y64" s="35"/>
      <c r="Z64" s="35"/>
      <c r="AA64" s="35"/>
      <c r="AB64" s="39">
        <f t="shared" si="187"/>
        <v>36</v>
      </c>
      <c r="AC64" s="35"/>
      <c r="AD64" s="35"/>
      <c r="AE64" s="35"/>
      <c r="AF64" s="39">
        <f t="shared" si="188"/>
        <v>36</v>
      </c>
      <c r="AG64" s="35"/>
      <c r="AH64" s="35"/>
      <c r="AI64" s="35"/>
      <c r="AJ64" s="39">
        <f t="shared" si="189"/>
        <v>36</v>
      </c>
      <c r="AK64" s="35"/>
      <c r="AL64" s="35"/>
      <c r="AM64" s="35"/>
      <c r="AN64" s="39">
        <f t="shared" si="190"/>
        <v>36</v>
      </c>
      <c r="AO64" s="35"/>
      <c r="AP64" s="35"/>
      <c r="AQ64" s="35"/>
      <c r="AR64" s="39">
        <f t="shared" si="191"/>
        <v>36</v>
      </c>
      <c r="AS64" s="35"/>
      <c r="AT64" s="35"/>
      <c r="AU64" s="35"/>
      <c r="AV64" s="39">
        <f t="shared" si="192"/>
        <v>36</v>
      </c>
      <c r="AW64" s="35"/>
      <c r="AX64" s="35"/>
      <c r="AY64" s="35"/>
      <c r="AZ64" s="39">
        <f t="shared" si="193"/>
        <v>36</v>
      </c>
      <c r="BA64" s="35"/>
      <c r="BB64" s="35"/>
      <c r="BC64" s="35"/>
      <c r="BD64" s="39">
        <f t="shared" si="194"/>
        <v>36</v>
      </c>
      <c r="BE64" s="35"/>
      <c r="BF64" s="35"/>
      <c r="BG64" s="35"/>
      <c r="BH64" s="39">
        <f t="shared" si="195"/>
        <v>36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</row>
    <row r="65">
      <c r="A65" s="21"/>
      <c r="B65" s="21" t="s">
        <v>78</v>
      </c>
      <c r="C65" s="21">
        <v>4.0</v>
      </c>
      <c r="D65" s="21"/>
      <c r="E65" s="49">
        <v>24.0</v>
      </c>
      <c r="F65" s="21">
        <f t="shared" si="181"/>
        <v>25</v>
      </c>
      <c r="G65" s="28">
        <f t="shared" si="182"/>
        <v>0.92</v>
      </c>
      <c r="H65" s="23">
        <v>22.0</v>
      </c>
      <c r="I65" s="23">
        <f t="shared" si="183"/>
        <v>22</v>
      </c>
      <c r="J65" s="25"/>
      <c r="K65" s="24">
        <v>2025.0</v>
      </c>
      <c r="L65" s="24">
        <v>2025.0</v>
      </c>
      <c r="M65" s="21"/>
      <c r="N65" s="21"/>
      <c r="O65" s="21"/>
      <c r="P65" s="25">
        <f t="shared" si="184"/>
        <v>22</v>
      </c>
      <c r="Q65" s="21"/>
      <c r="R65" s="21"/>
      <c r="S65" s="21"/>
      <c r="T65" s="25">
        <f t="shared" si="185"/>
        <v>22</v>
      </c>
      <c r="U65" s="21"/>
      <c r="V65" s="21"/>
      <c r="W65" s="21"/>
      <c r="X65" s="25">
        <f t="shared" si="186"/>
        <v>22</v>
      </c>
      <c r="Y65" s="21"/>
      <c r="Z65" s="21"/>
      <c r="AA65" s="21"/>
      <c r="AB65" s="25">
        <f t="shared" si="187"/>
        <v>22</v>
      </c>
      <c r="AC65" s="21"/>
      <c r="AD65" s="21"/>
      <c r="AE65" s="21"/>
      <c r="AF65" s="25">
        <f t="shared" si="188"/>
        <v>22</v>
      </c>
      <c r="AG65" s="21"/>
      <c r="AH65" s="21"/>
      <c r="AI65" s="21"/>
      <c r="AJ65" s="25">
        <f t="shared" si="189"/>
        <v>22</v>
      </c>
      <c r="AK65" s="21"/>
      <c r="AL65" s="21"/>
      <c r="AM65" s="21"/>
      <c r="AN65" s="25">
        <f t="shared" si="190"/>
        <v>22</v>
      </c>
      <c r="AO65" s="21"/>
      <c r="AP65" s="21"/>
      <c r="AQ65" s="21"/>
      <c r="AR65" s="25">
        <f t="shared" si="191"/>
        <v>22</v>
      </c>
      <c r="AS65" s="18">
        <v>1.0</v>
      </c>
      <c r="AT65" s="21"/>
      <c r="AU65" s="21"/>
      <c r="AV65" s="25">
        <f t="shared" si="192"/>
        <v>23</v>
      </c>
      <c r="AW65" s="21"/>
      <c r="AX65" s="21"/>
      <c r="AY65" s="21"/>
      <c r="AZ65" s="25">
        <f t="shared" si="193"/>
        <v>23</v>
      </c>
      <c r="BA65" s="21"/>
      <c r="BB65" s="21"/>
      <c r="BC65" s="21"/>
      <c r="BD65" s="25">
        <f t="shared" si="194"/>
        <v>23</v>
      </c>
      <c r="BE65" s="16"/>
      <c r="BF65" s="21"/>
      <c r="BG65" s="16"/>
      <c r="BH65" s="25">
        <f t="shared" si="195"/>
        <v>23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/>
      <c r="C66" s="21"/>
      <c r="D66" s="21"/>
      <c r="E66" s="21"/>
      <c r="F66" s="21"/>
      <c r="G66" s="21"/>
      <c r="H66" s="25"/>
      <c r="I66" s="25"/>
      <c r="J66" s="25"/>
      <c r="K66" s="21"/>
      <c r="L66" s="21"/>
      <c r="M66" s="21">
        <f t="shared" ref="M66:BH66" si="196">SUM(M63:M65)</f>
        <v>0</v>
      </c>
      <c r="N66" s="21">
        <f t="shared" si="196"/>
        <v>0</v>
      </c>
      <c r="O66" s="21">
        <f t="shared" si="196"/>
        <v>0</v>
      </c>
      <c r="P66" s="25">
        <f t="shared" si="196"/>
        <v>72</v>
      </c>
      <c r="Q66" s="21">
        <f t="shared" si="196"/>
        <v>1</v>
      </c>
      <c r="R66" s="21">
        <f t="shared" si="196"/>
        <v>14</v>
      </c>
      <c r="S66" s="21">
        <f t="shared" si="196"/>
        <v>0</v>
      </c>
      <c r="T66" s="25">
        <f t="shared" si="196"/>
        <v>87</v>
      </c>
      <c r="U66" s="21">
        <f t="shared" si="196"/>
        <v>0</v>
      </c>
      <c r="V66" s="21">
        <f t="shared" si="196"/>
        <v>0</v>
      </c>
      <c r="W66" s="21">
        <f t="shared" si="196"/>
        <v>0</v>
      </c>
      <c r="X66" s="25">
        <f t="shared" si="196"/>
        <v>87</v>
      </c>
      <c r="Y66" s="21">
        <f t="shared" si="196"/>
        <v>0</v>
      </c>
      <c r="Z66" s="21">
        <f t="shared" si="196"/>
        <v>0</v>
      </c>
      <c r="AA66" s="21">
        <f t="shared" si="196"/>
        <v>0</v>
      </c>
      <c r="AB66" s="25">
        <f t="shared" si="196"/>
        <v>87</v>
      </c>
      <c r="AC66" s="21">
        <f t="shared" si="196"/>
        <v>0</v>
      </c>
      <c r="AD66" s="21">
        <f t="shared" si="196"/>
        <v>0</v>
      </c>
      <c r="AE66" s="21">
        <f t="shared" si="196"/>
        <v>0</v>
      </c>
      <c r="AF66" s="25">
        <f t="shared" si="196"/>
        <v>87</v>
      </c>
      <c r="AG66" s="21">
        <f t="shared" si="196"/>
        <v>0</v>
      </c>
      <c r="AH66" s="21">
        <f t="shared" si="196"/>
        <v>0</v>
      </c>
      <c r="AI66" s="21">
        <f t="shared" si="196"/>
        <v>0</v>
      </c>
      <c r="AJ66" s="25">
        <f t="shared" si="196"/>
        <v>87</v>
      </c>
      <c r="AK66" s="21">
        <f t="shared" si="196"/>
        <v>0</v>
      </c>
      <c r="AL66" s="21">
        <f t="shared" si="196"/>
        <v>0</v>
      </c>
      <c r="AM66" s="21">
        <f t="shared" si="196"/>
        <v>0</v>
      </c>
      <c r="AN66" s="25">
        <f t="shared" si="196"/>
        <v>87</v>
      </c>
      <c r="AO66" s="21">
        <f t="shared" si="196"/>
        <v>0</v>
      </c>
      <c r="AP66" s="21">
        <f t="shared" si="196"/>
        <v>0</v>
      </c>
      <c r="AQ66" s="21">
        <f t="shared" si="196"/>
        <v>0</v>
      </c>
      <c r="AR66" s="25">
        <f t="shared" si="196"/>
        <v>87</v>
      </c>
      <c r="AS66" s="21">
        <f t="shared" si="196"/>
        <v>1</v>
      </c>
      <c r="AT66" s="21">
        <f t="shared" si="196"/>
        <v>0</v>
      </c>
      <c r="AU66" s="21">
        <f t="shared" si="196"/>
        <v>0</v>
      </c>
      <c r="AV66" s="25">
        <f t="shared" si="196"/>
        <v>88</v>
      </c>
      <c r="AW66" s="21">
        <f t="shared" si="196"/>
        <v>0</v>
      </c>
      <c r="AX66" s="21">
        <f t="shared" si="196"/>
        <v>0</v>
      </c>
      <c r="AY66" s="21">
        <f t="shared" si="196"/>
        <v>0</v>
      </c>
      <c r="AZ66" s="25">
        <f t="shared" si="196"/>
        <v>88</v>
      </c>
      <c r="BA66" s="21">
        <f t="shared" si="196"/>
        <v>0</v>
      </c>
      <c r="BB66" s="21">
        <f t="shared" si="196"/>
        <v>0</v>
      </c>
      <c r="BC66" s="21">
        <f t="shared" si="196"/>
        <v>2</v>
      </c>
      <c r="BD66" s="25">
        <f t="shared" si="196"/>
        <v>90</v>
      </c>
      <c r="BE66" s="21">
        <f t="shared" si="196"/>
        <v>0</v>
      </c>
      <c r="BF66" s="21">
        <f t="shared" si="196"/>
        <v>0</v>
      </c>
      <c r="BG66" s="21">
        <f t="shared" si="196"/>
        <v>0</v>
      </c>
      <c r="BH66" s="25">
        <f t="shared" si="196"/>
        <v>90</v>
      </c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</row>
    <row r="67">
      <c r="A67" s="21"/>
      <c r="B67" s="21" t="s">
        <v>35</v>
      </c>
      <c r="C67" s="21">
        <f>COUNT(C63:C65)</f>
        <v>3</v>
      </c>
      <c r="D67" s="21"/>
      <c r="E67" s="21">
        <f>SUM(E62:E66)</f>
        <v>88</v>
      </c>
      <c r="F67" s="21">
        <f>SUM(E62:E66)+1</f>
        <v>89</v>
      </c>
      <c r="G67" s="22">
        <f>$BH66/F67</f>
        <v>1.011235955</v>
      </c>
      <c r="H67" s="25">
        <f t="shared" ref="H67:J67" si="197">SUM(H62:H65)</f>
        <v>72</v>
      </c>
      <c r="I67" s="25">
        <f t="shared" si="197"/>
        <v>72</v>
      </c>
      <c r="J67" s="25">
        <f t="shared" si="197"/>
        <v>0</v>
      </c>
      <c r="K67" s="21"/>
      <c r="L67" s="21"/>
      <c r="M67" s="21"/>
      <c r="N67" s="21"/>
      <c r="O67" s="21"/>
      <c r="P67" s="22">
        <f>P66/F67</f>
        <v>0.808988764</v>
      </c>
      <c r="Q67" s="21">
        <f t="shared" ref="Q67:S67" si="198">M66+Q66</f>
        <v>1</v>
      </c>
      <c r="R67" s="21">
        <f t="shared" si="198"/>
        <v>14</v>
      </c>
      <c r="S67" s="21">
        <f t="shared" si="198"/>
        <v>0</v>
      </c>
      <c r="T67" s="22">
        <f>T66/F67</f>
        <v>0.9775280899</v>
      </c>
      <c r="U67" s="21">
        <f t="shared" ref="U67:W67" si="199">Q67+U66</f>
        <v>1</v>
      </c>
      <c r="V67" s="21">
        <f t="shared" si="199"/>
        <v>14</v>
      </c>
      <c r="W67" s="21">
        <f t="shared" si="199"/>
        <v>0</v>
      </c>
      <c r="X67" s="22">
        <f>X66/F67</f>
        <v>0.9775280899</v>
      </c>
      <c r="Y67" s="21">
        <f t="shared" ref="Y67:AA67" si="200">U67+Y66</f>
        <v>1</v>
      </c>
      <c r="Z67" s="21">
        <f t="shared" si="200"/>
        <v>14</v>
      </c>
      <c r="AA67" s="21">
        <f t="shared" si="200"/>
        <v>0</v>
      </c>
      <c r="AB67" s="22">
        <f>AB66/F67</f>
        <v>0.9775280899</v>
      </c>
      <c r="AC67" s="21">
        <f t="shared" ref="AC67:AE67" si="201">Y67+AC66</f>
        <v>1</v>
      </c>
      <c r="AD67" s="21">
        <f t="shared" si="201"/>
        <v>14</v>
      </c>
      <c r="AE67" s="21">
        <f t="shared" si="201"/>
        <v>0</v>
      </c>
      <c r="AF67" s="22">
        <f>AF66/F67</f>
        <v>0.9775280899</v>
      </c>
      <c r="AG67" s="21">
        <f t="shared" ref="AG67:AI67" si="202">AC67+AG66</f>
        <v>1</v>
      </c>
      <c r="AH67" s="21">
        <f t="shared" si="202"/>
        <v>14</v>
      </c>
      <c r="AI67" s="21">
        <f t="shared" si="202"/>
        <v>0</v>
      </c>
      <c r="AJ67" s="22">
        <f>AJ66/F67</f>
        <v>0.9775280899</v>
      </c>
      <c r="AK67" s="21">
        <f t="shared" ref="AK67:AM67" si="203">AG67+AK66</f>
        <v>1</v>
      </c>
      <c r="AL67" s="21">
        <f t="shared" si="203"/>
        <v>14</v>
      </c>
      <c r="AM67" s="21">
        <f t="shared" si="203"/>
        <v>0</v>
      </c>
      <c r="AN67" s="22">
        <f>AN66/F67</f>
        <v>0.9775280899</v>
      </c>
      <c r="AO67" s="21">
        <f t="shared" ref="AO67:AQ67" si="204">AK67+AO66</f>
        <v>1</v>
      </c>
      <c r="AP67" s="21">
        <f t="shared" si="204"/>
        <v>14</v>
      </c>
      <c r="AQ67" s="21">
        <f t="shared" si="204"/>
        <v>0</v>
      </c>
      <c r="AR67" s="22">
        <f>AR66/F67</f>
        <v>0.9775280899</v>
      </c>
      <c r="AS67" s="21">
        <f t="shared" ref="AS67:AU67" si="205">AO67+AS66</f>
        <v>2</v>
      </c>
      <c r="AT67" s="21">
        <f t="shared" si="205"/>
        <v>14</v>
      </c>
      <c r="AU67" s="21">
        <f t="shared" si="205"/>
        <v>0</v>
      </c>
      <c r="AV67" s="22">
        <f>AV66/F67</f>
        <v>0.9887640449</v>
      </c>
      <c r="AW67" s="21">
        <f t="shared" ref="AW67:AY67" si="206">AS67+AW66</f>
        <v>2</v>
      </c>
      <c r="AX67" s="21">
        <f t="shared" si="206"/>
        <v>14</v>
      </c>
      <c r="AY67" s="21">
        <f t="shared" si="206"/>
        <v>0</v>
      </c>
      <c r="AZ67" s="22">
        <f>AZ66/F67</f>
        <v>0.9887640449</v>
      </c>
      <c r="BA67" s="21">
        <f t="shared" ref="BA67:BC67" si="207">AW67+BA66</f>
        <v>2</v>
      </c>
      <c r="BB67" s="21">
        <f t="shared" si="207"/>
        <v>14</v>
      </c>
      <c r="BC67" s="21">
        <f t="shared" si="207"/>
        <v>2</v>
      </c>
      <c r="BD67" s="22">
        <f>BD66/F67</f>
        <v>1.011235955</v>
      </c>
      <c r="BE67" s="21">
        <f t="shared" ref="BE67:BG67" si="208">BA67+BE66</f>
        <v>2</v>
      </c>
      <c r="BF67" s="21">
        <f t="shared" si="208"/>
        <v>14</v>
      </c>
      <c r="BG67" s="21">
        <f t="shared" si="208"/>
        <v>2</v>
      </c>
      <c r="BH67" s="22">
        <f>BH66/F67</f>
        <v>1.011235955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</row>
    <row r="68">
      <c r="A68" s="11"/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/>
      <c r="Q68" s="24"/>
      <c r="R68" s="24"/>
      <c r="S68" s="24"/>
      <c r="T68" s="21"/>
      <c r="U68" s="24"/>
      <c r="V68" s="24"/>
      <c r="W68" s="24"/>
      <c r="X68" s="21"/>
      <c r="Y68" s="24"/>
      <c r="Z68" s="24"/>
      <c r="AA68" s="24"/>
      <c r="AB68" s="21"/>
      <c r="AC68" s="24"/>
      <c r="AD68" s="24"/>
      <c r="AE68" s="24"/>
      <c r="AF68" s="21"/>
      <c r="AG68" s="24"/>
      <c r="AH68" s="24"/>
      <c r="AI68" s="24"/>
      <c r="AJ68" s="21"/>
      <c r="AK68" s="24"/>
      <c r="AL68" s="24"/>
      <c r="AM68" s="24"/>
      <c r="AN68" s="21"/>
      <c r="AO68" s="24"/>
      <c r="AP68" s="24"/>
      <c r="AQ68" s="24"/>
      <c r="AR68" s="21"/>
      <c r="AS68" s="24"/>
      <c r="AT68" s="24"/>
      <c r="AU68" s="24"/>
      <c r="AV68" s="21"/>
      <c r="AW68" s="24"/>
      <c r="AX68" s="24"/>
      <c r="AY68" s="24"/>
      <c r="AZ68" s="21"/>
      <c r="BA68" s="24"/>
      <c r="BB68" s="24"/>
      <c r="BC68" s="24"/>
      <c r="BD68" s="21"/>
      <c r="BE68" s="24"/>
      <c r="BF68" s="24"/>
      <c r="BG68" s="24"/>
      <c r="BH68" s="21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1" t="s">
        <v>79</v>
      </c>
      <c r="B69" s="24"/>
      <c r="C69" s="24"/>
      <c r="D69" s="24"/>
      <c r="E69" s="24"/>
      <c r="F69" s="21"/>
      <c r="G69" s="22"/>
      <c r="H69" s="23"/>
      <c r="I69" s="23"/>
      <c r="J69" s="23"/>
      <c r="K69" s="24"/>
      <c r="L69" s="24"/>
      <c r="M69" s="24"/>
      <c r="N69" s="24"/>
      <c r="O69" s="24"/>
      <c r="P69" s="23" t="str">
        <f>+H69</f>
        <v/>
      </c>
      <c r="Q69" s="24"/>
      <c r="R69" s="24"/>
      <c r="S69" s="24"/>
      <c r="T69" s="21"/>
      <c r="U69" s="24"/>
      <c r="V69" s="24"/>
      <c r="W69" s="24"/>
      <c r="X69" s="21">
        <f t="shared" ref="X69:X70" si="209">SUM(T69:W69)</f>
        <v>0</v>
      </c>
      <c r="Y69" s="24"/>
      <c r="Z69" s="24"/>
      <c r="AA69" s="24"/>
      <c r="AB69" s="21">
        <f t="shared" ref="AB69:AB70" si="210">SUM(X69:AA69)</f>
        <v>0</v>
      </c>
      <c r="AC69" s="24"/>
      <c r="AD69" s="24"/>
      <c r="AE69" s="24"/>
      <c r="AF69" s="21">
        <f t="shared" ref="AF69:AF70" si="211">SUM(AB69:AE69)</f>
        <v>0</v>
      </c>
      <c r="AG69" s="24"/>
      <c r="AH69" s="24"/>
      <c r="AI69" s="24"/>
      <c r="AJ69" s="21">
        <f t="shared" ref="AJ69:AJ70" si="212">SUM(AF69:AI69)</f>
        <v>0</v>
      </c>
      <c r="AK69" s="24"/>
      <c r="AL69" s="24"/>
      <c r="AM69" s="24"/>
      <c r="AN69" s="21">
        <f t="shared" ref="AN69:AN70" si="213">SUM(AJ69:AM69)</f>
        <v>0</v>
      </c>
      <c r="AO69" s="24"/>
      <c r="AP69" s="24"/>
      <c r="AQ69" s="24"/>
      <c r="AR69" s="21">
        <f t="shared" ref="AR69:AR70" si="214">SUM(AN69:AQ69)</f>
        <v>0</v>
      </c>
      <c r="AS69" s="24"/>
      <c r="AT69" s="24"/>
      <c r="AU69" s="24"/>
      <c r="AV69" s="21">
        <f t="shared" ref="AV69:AV70" si="215">SUM(AR69:AU69)</f>
        <v>0</v>
      </c>
      <c r="AW69" s="24"/>
      <c r="AX69" s="24"/>
      <c r="AY69" s="24"/>
      <c r="AZ69" s="21">
        <f t="shared" ref="AZ69:AZ70" si="216">SUM(AV69:AY69)</f>
        <v>0</v>
      </c>
      <c r="BA69" s="24"/>
      <c r="BB69" s="24"/>
      <c r="BC69" s="24"/>
      <c r="BD69" s="21">
        <f t="shared" ref="BD69:BD70" si="217">SUM(AZ69:BC69)</f>
        <v>0</v>
      </c>
      <c r="BE69" s="24"/>
      <c r="BF69" s="24"/>
      <c r="BG69" s="24"/>
      <c r="BH69" s="21">
        <f t="shared" ref="BH69:BH70" si="218">SUM(BD69:BG69)</f>
        <v>0</v>
      </c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</row>
    <row r="70">
      <c r="A70" s="16"/>
      <c r="B70" s="68" t="s">
        <v>80</v>
      </c>
      <c r="C70" s="35">
        <v>6.0</v>
      </c>
      <c r="D70" s="36">
        <v>3885.0</v>
      </c>
      <c r="E70" s="36">
        <v>94.0</v>
      </c>
      <c r="F70" s="35">
        <f>E70+1</f>
        <v>95</v>
      </c>
      <c r="G70" s="63">
        <f>$BH70/F70</f>
        <v>0.9473684211</v>
      </c>
      <c r="H70" s="39">
        <v>86.0</v>
      </c>
      <c r="I70" s="38">
        <f>+H70+J70</f>
        <v>87</v>
      </c>
      <c r="J70" s="39">
        <v>1.0</v>
      </c>
      <c r="K70" s="35">
        <v>2027.0</v>
      </c>
      <c r="L70" s="35">
        <v>2025.0</v>
      </c>
      <c r="M70" s="35">
        <v>3.0</v>
      </c>
      <c r="N70" s="35"/>
      <c r="O70" s="35"/>
      <c r="P70" s="39">
        <f>H70+SUM(M70:O70)</f>
        <v>89</v>
      </c>
      <c r="Q70" s="35"/>
      <c r="R70" s="35"/>
      <c r="S70" s="35"/>
      <c r="T70" s="39">
        <f>SUM(P70:S70)</f>
        <v>89</v>
      </c>
      <c r="U70" s="35"/>
      <c r="V70" s="35"/>
      <c r="W70" s="35"/>
      <c r="X70" s="39">
        <f t="shared" si="209"/>
        <v>89</v>
      </c>
      <c r="Y70" s="35"/>
      <c r="Z70" s="35"/>
      <c r="AA70" s="35"/>
      <c r="AB70" s="39">
        <f t="shared" si="210"/>
        <v>89</v>
      </c>
      <c r="AC70" s="35"/>
      <c r="AD70" s="35"/>
      <c r="AE70" s="35"/>
      <c r="AF70" s="39">
        <f t="shared" si="211"/>
        <v>89</v>
      </c>
      <c r="AG70" s="35">
        <v>1.0</v>
      </c>
      <c r="AH70" s="35"/>
      <c r="AI70" s="35"/>
      <c r="AJ70" s="39">
        <f t="shared" si="212"/>
        <v>90</v>
      </c>
      <c r="AK70" s="35"/>
      <c r="AL70" s="35"/>
      <c r="AM70" s="35"/>
      <c r="AN70" s="39">
        <f t="shared" si="213"/>
        <v>90</v>
      </c>
      <c r="AO70" s="35"/>
      <c r="AP70" s="35"/>
      <c r="AQ70" s="35"/>
      <c r="AR70" s="39">
        <f t="shared" si="214"/>
        <v>90</v>
      </c>
      <c r="AS70" s="35"/>
      <c r="AT70" s="35"/>
      <c r="AU70" s="35"/>
      <c r="AV70" s="39">
        <f t="shared" si="215"/>
        <v>90</v>
      </c>
      <c r="AW70" s="35"/>
      <c r="AX70" s="35"/>
      <c r="AY70" s="35"/>
      <c r="AZ70" s="39">
        <f t="shared" si="216"/>
        <v>90</v>
      </c>
      <c r="BA70" s="35"/>
      <c r="BB70" s="35"/>
      <c r="BC70" s="35"/>
      <c r="BD70" s="39">
        <f t="shared" si="217"/>
        <v>90</v>
      </c>
      <c r="BE70" s="35"/>
      <c r="BF70" s="35"/>
      <c r="BG70" s="35"/>
      <c r="BH70" s="39">
        <f t="shared" si="218"/>
        <v>90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</row>
    <row r="71">
      <c r="A71" s="21"/>
      <c r="B71" s="21"/>
      <c r="C71" s="21"/>
      <c r="D71" s="21"/>
      <c r="E71" s="21"/>
      <c r="F71" s="21"/>
      <c r="G71" s="21"/>
      <c r="H71" s="25"/>
      <c r="I71" s="25"/>
      <c r="J71" s="25"/>
      <c r="K71" s="21"/>
      <c r="L71" s="21"/>
      <c r="M71" s="21">
        <f t="shared" ref="M71:O71" si="219">SUM(M70)</f>
        <v>3</v>
      </c>
      <c r="N71" s="21">
        <f t="shared" si="219"/>
        <v>0</v>
      </c>
      <c r="O71" s="21">
        <f t="shared" si="219"/>
        <v>0</v>
      </c>
      <c r="P71" s="25">
        <f>SUM(P69:P70)</f>
        <v>89</v>
      </c>
      <c r="Q71" s="21">
        <f t="shared" ref="Q71:S71" si="220">SUM(Q70)</f>
        <v>0</v>
      </c>
      <c r="R71" s="21">
        <f t="shared" si="220"/>
        <v>0</v>
      </c>
      <c r="S71" s="21">
        <f t="shared" si="220"/>
        <v>0</v>
      </c>
      <c r="T71" s="21"/>
      <c r="U71" s="21">
        <f t="shared" ref="U71:W71" si="221">SUM(U70)</f>
        <v>0</v>
      </c>
      <c r="V71" s="21">
        <f t="shared" si="221"/>
        <v>0</v>
      </c>
      <c r="W71" s="21">
        <f t="shared" si="221"/>
        <v>0</v>
      </c>
      <c r="X71" s="21">
        <f t="shared" ref="X71:BH71" si="222">SUM(X69:X70)</f>
        <v>89</v>
      </c>
      <c r="Y71" s="21">
        <f t="shared" si="222"/>
        <v>0</v>
      </c>
      <c r="Z71" s="21">
        <f t="shared" si="222"/>
        <v>0</v>
      </c>
      <c r="AA71" s="21">
        <f t="shared" si="222"/>
        <v>0</v>
      </c>
      <c r="AB71" s="21">
        <f t="shared" si="222"/>
        <v>89</v>
      </c>
      <c r="AC71" s="21">
        <f t="shared" si="222"/>
        <v>0</v>
      </c>
      <c r="AD71" s="21">
        <f t="shared" si="222"/>
        <v>0</v>
      </c>
      <c r="AE71" s="21">
        <f t="shared" si="222"/>
        <v>0</v>
      </c>
      <c r="AF71" s="21">
        <f t="shared" si="222"/>
        <v>89</v>
      </c>
      <c r="AG71" s="21">
        <f t="shared" si="222"/>
        <v>1</v>
      </c>
      <c r="AH71" s="21">
        <f t="shared" si="222"/>
        <v>0</v>
      </c>
      <c r="AI71" s="21">
        <f t="shared" si="222"/>
        <v>0</v>
      </c>
      <c r="AJ71" s="21">
        <f t="shared" si="222"/>
        <v>90</v>
      </c>
      <c r="AK71" s="21">
        <f t="shared" si="222"/>
        <v>0</v>
      </c>
      <c r="AL71" s="21">
        <f t="shared" si="222"/>
        <v>0</v>
      </c>
      <c r="AM71" s="21">
        <f t="shared" si="222"/>
        <v>0</v>
      </c>
      <c r="AN71" s="21">
        <f t="shared" si="222"/>
        <v>90</v>
      </c>
      <c r="AO71" s="21">
        <f t="shared" si="222"/>
        <v>0</v>
      </c>
      <c r="AP71" s="21">
        <f t="shared" si="222"/>
        <v>0</v>
      </c>
      <c r="AQ71" s="21">
        <f t="shared" si="222"/>
        <v>0</v>
      </c>
      <c r="AR71" s="21">
        <f t="shared" si="222"/>
        <v>90</v>
      </c>
      <c r="AS71" s="21">
        <f t="shared" si="222"/>
        <v>0</v>
      </c>
      <c r="AT71" s="21">
        <f t="shared" si="222"/>
        <v>0</v>
      </c>
      <c r="AU71" s="21">
        <f t="shared" si="222"/>
        <v>0</v>
      </c>
      <c r="AV71" s="21">
        <f t="shared" si="222"/>
        <v>90</v>
      </c>
      <c r="AW71" s="21">
        <f t="shared" si="222"/>
        <v>0</v>
      </c>
      <c r="AX71" s="21">
        <f t="shared" si="222"/>
        <v>0</v>
      </c>
      <c r="AY71" s="21">
        <f t="shared" si="222"/>
        <v>0</v>
      </c>
      <c r="AZ71" s="21">
        <f t="shared" si="222"/>
        <v>90</v>
      </c>
      <c r="BA71" s="21">
        <f t="shared" si="222"/>
        <v>0</v>
      </c>
      <c r="BB71" s="21">
        <f t="shared" si="222"/>
        <v>0</v>
      </c>
      <c r="BC71" s="21">
        <f t="shared" si="222"/>
        <v>0</v>
      </c>
      <c r="BD71" s="21">
        <f t="shared" si="222"/>
        <v>90</v>
      </c>
      <c r="BE71" s="21">
        <f t="shared" si="222"/>
        <v>0</v>
      </c>
      <c r="BF71" s="21">
        <f t="shared" si="222"/>
        <v>0</v>
      </c>
      <c r="BG71" s="21">
        <f t="shared" si="222"/>
        <v>0</v>
      </c>
      <c r="BH71" s="21">
        <f t="shared" si="222"/>
        <v>90</v>
      </c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</row>
    <row r="72">
      <c r="A72" s="21"/>
      <c r="B72" s="21" t="s">
        <v>35</v>
      </c>
      <c r="C72" s="21">
        <v>1.0</v>
      </c>
      <c r="D72" s="21"/>
      <c r="E72" s="21">
        <f t="shared" ref="E72:F72" si="223">SUM(E69:E71)</f>
        <v>94</v>
      </c>
      <c r="F72" s="21">
        <f t="shared" si="223"/>
        <v>95</v>
      </c>
      <c r="G72" s="22">
        <f>$BH71/F72</f>
        <v>0.9473684211</v>
      </c>
      <c r="H72" s="25">
        <f t="shared" ref="H72:J72" si="224">SUM(H69:H70)</f>
        <v>86</v>
      </c>
      <c r="I72" s="25">
        <f t="shared" si="224"/>
        <v>87</v>
      </c>
      <c r="J72" s="25">
        <f t="shared" si="224"/>
        <v>1</v>
      </c>
      <c r="K72" s="21"/>
      <c r="L72" s="21"/>
      <c r="M72" s="21"/>
      <c r="N72" s="21"/>
      <c r="O72" s="21"/>
      <c r="P72" s="22">
        <f>P71/F72</f>
        <v>0.9368421053</v>
      </c>
      <c r="Q72" s="21">
        <f t="shared" ref="Q72:S72" si="225">M71+Q71</f>
        <v>3</v>
      </c>
      <c r="R72" s="21">
        <f t="shared" si="225"/>
        <v>0</v>
      </c>
      <c r="S72" s="21">
        <f t="shared" si="225"/>
        <v>0</v>
      </c>
      <c r="T72" s="22">
        <f>+T70/F70</f>
        <v>0.9368421053</v>
      </c>
      <c r="U72" s="21">
        <f t="shared" ref="U72:W72" si="226">Q72+U71</f>
        <v>3</v>
      </c>
      <c r="V72" s="21">
        <f t="shared" si="226"/>
        <v>0</v>
      </c>
      <c r="W72" s="21">
        <f t="shared" si="226"/>
        <v>0</v>
      </c>
      <c r="X72" s="22">
        <f>X71/F72</f>
        <v>0.9368421053</v>
      </c>
      <c r="Y72" s="21">
        <f t="shared" ref="Y72:AA72" si="227">U72+Y71</f>
        <v>3</v>
      </c>
      <c r="Z72" s="21">
        <f t="shared" si="227"/>
        <v>0</v>
      </c>
      <c r="AA72" s="21">
        <f t="shared" si="227"/>
        <v>0</v>
      </c>
      <c r="AB72" s="22">
        <f>AB71/F72</f>
        <v>0.9368421053</v>
      </c>
      <c r="AC72" s="21">
        <f t="shared" ref="AC72:AE72" si="228">Y72+AC71</f>
        <v>3</v>
      </c>
      <c r="AD72" s="21">
        <f t="shared" si="228"/>
        <v>0</v>
      </c>
      <c r="AE72" s="21">
        <f t="shared" si="228"/>
        <v>0</v>
      </c>
      <c r="AF72" s="22">
        <f>AF71/F72</f>
        <v>0.9368421053</v>
      </c>
      <c r="AG72" s="21">
        <f t="shared" ref="AG72:AI72" si="229">AC72+AG71</f>
        <v>4</v>
      </c>
      <c r="AH72" s="21">
        <f t="shared" si="229"/>
        <v>0</v>
      </c>
      <c r="AI72" s="21">
        <f t="shared" si="229"/>
        <v>0</v>
      </c>
      <c r="AJ72" s="22">
        <f>AJ71/F72</f>
        <v>0.9473684211</v>
      </c>
      <c r="AK72" s="21">
        <f t="shared" ref="AK72:AM72" si="230">AG72+AK71</f>
        <v>4</v>
      </c>
      <c r="AL72" s="21">
        <f t="shared" si="230"/>
        <v>0</v>
      </c>
      <c r="AM72" s="21">
        <f t="shared" si="230"/>
        <v>0</v>
      </c>
      <c r="AN72" s="22">
        <f>AN71/F72</f>
        <v>0.9473684211</v>
      </c>
      <c r="AO72" s="21">
        <f t="shared" ref="AO72:AQ72" si="231">AK72+AO71</f>
        <v>4</v>
      </c>
      <c r="AP72" s="21">
        <f t="shared" si="231"/>
        <v>0</v>
      </c>
      <c r="AQ72" s="21">
        <f t="shared" si="231"/>
        <v>0</v>
      </c>
      <c r="AR72" s="22">
        <f>AR71/F72</f>
        <v>0.9473684211</v>
      </c>
      <c r="AS72" s="21">
        <f t="shared" ref="AS72:AU72" si="232">AO72+AS71</f>
        <v>4</v>
      </c>
      <c r="AT72" s="21">
        <f t="shared" si="232"/>
        <v>0</v>
      </c>
      <c r="AU72" s="21">
        <f t="shared" si="232"/>
        <v>0</v>
      </c>
      <c r="AV72" s="22">
        <f>AV71/F72</f>
        <v>0.9473684211</v>
      </c>
      <c r="AW72" s="21">
        <f t="shared" ref="AW72:AY72" si="233">AS72+AW71</f>
        <v>4</v>
      </c>
      <c r="AX72" s="21">
        <f t="shared" si="233"/>
        <v>0</v>
      </c>
      <c r="AY72" s="21">
        <f t="shared" si="233"/>
        <v>0</v>
      </c>
      <c r="AZ72" s="22">
        <f>AZ71/F72</f>
        <v>0.9473684211</v>
      </c>
      <c r="BA72" s="21">
        <f t="shared" ref="BA72:BC72" si="234">AW72+BA71</f>
        <v>4</v>
      </c>
      <c r="BB72" s="21">
        <f t="shared" si="234"/>
        <v>0</v>
      </c>
      <c r="BC72" s="21">
        <f t="shared" si="234"/>
        <v>0</v>
      </c>
      <c r="BD72" s="22">
        <f>BD71/F72</f>
        <v>0.9473684211</v>
      </c>
      <c r="BE72" s="21">
        <f t="shared" ref="BE72:BG72" si="235">BA72+BE71</f>
        <v>4</v>
      </c>
      <c r="BF72" s="21">
        <f t="shared" si="235"/>
        <v>0</v>
      </c>
      <c r="BG72" s="21">
        <f t="shared" si="235"/>
        <v>0</v>
      </c>
      <c r="BH72" s="22">
        <f>BH71/F72</f>
        <v>0.9473684211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</row>
    <row r="73">
      <c r="A73" s="27"/>
      <c r="B73" s="24"/>
      <c r="C73" s="24"/>
      <c r="D73" s="24"/>
      <c r="E73" s="24"/>
      <c r="F73" s="24"/>
      <c r="G73" s="28"/>
      <c r="H73" s="23"/>
      <c r="I73" s="23"/>
      <c r="J73" s="23"/>
      <c r="K73" s="24"/>
      <c r="L73" s="24"/>
      <c r="M73" s="24"/>
      <c r="N73" s="24"/>
      <c r="O73" s="24"/>
      <c r="P73" s="23"/>
      <c r="Q73" s="24"/>
      <c r="R73" s="24"/>
      <c r="S73" s="24"/>
      <c r="T73" s="21"/>
      <c r="U73" s="24"/>
      <c r="V73" s="24"/>
      <c r="W73" s="24"/>
      <c r="X73" s="21"/>
      <c r="Y73" s="24"/>
      <c r="Z73" s="24"/>
      <c r="AA73" s="24"/>
      <c r="AB73" s="21"/>
      <c r="AC73" s="24"/>
      <c r="AD73" s="24"/>
      <c r="AE73" s="24"/>
      <c r="AF73" s="21"/>
      <c r="AG73" s="24"/>
      <c r="AH73" s="24"/>
      <c r="AI73" s="24"/>
      <c r="AJ73" s="21"/>
      <c r="AK73" s="24"/>
      <c r="AL73" s="24"/>
      <c r="AM73" s="24"/>
      <c r="AN73" s="21"/>
      <c r="AO73" s="24"/>
      <c r="AP73" s="24"/>
      <c r="AQ73" s="24"/>
      <c r="AR73" s="21"/>
      <c r="AS73" s="24"/>
      <c r="AT73" s="24"/>
      <c r="AU73" s="24"/>
      <c r="AV73" s="21"/>
      <c r="AW73" s="24"/>
      <c r="AX73" s="24"/>
      <c r="AY73" s="24"/>
      <c r="AZ73" s="21"/>
      <c r="BA73" s="24"/>
      <c r="BB73" s="24"/>
      <c r="BC73" s="24"/>
      <c r="BD73" s="21"/>
      <c r="BE73" s="24"/>
      <c r="BF73" s="24"/>
      <c r="BG73" s="24"/>
      <c r="BH73" s="21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27" t="s">
        <v>81</v>
      </c>
      <c r="B74" s="24"/>
      <c r="C74" s="24"/>
      <c r="D74" s="24"/>
      <c r="E74" s="24"/>
      <c r="F74" s="24"/>
      <c r="G74" s="28"/>
      <c r="H74" s="23"/>
      <c r="I74" s="23"/>
      <c r="J74" s="23"/>
      <c r="K74" s="24">
        <v>2027.0</v>
      </c>
      <c r="L74" s="24">
        <v>2025.0</v>
      </c>
      <c r="M74" s="24"/>
      <c r="N74" s="24"/>
      <c r="O74" s="24"/>
      <c r="P74" s="23">
        <f>+H74+M74+N74+O74</f>
        <v>0</v>
      </c>
      <c r="Q74" s="24"/>
      <c r="R74" s="24"/>
      <c r="S74" s="24"/>
      <c r="T74" s="25">
        <f t="shared" ref="T74:T92" si="236">SUM(P74:S74)</f>
        <v>0</v>
      </c>
      <c r="U74" s="24"/>
      <c r="V74" s="24"/>
      <c r="W74" s="24" t="s">
        <v>82</v>
      </c>
      <c r="X74" s="25">
        <f t="shared" ref="X74:X92" si="237">SUM(T74:W74)</f>
        <v>0</v>
      </c>
      <c r="Y74" s="24"/>
      <c r="Z74" s="24"/>
      <c r="AA74" s="24"/>
      <c r="AB74" s="25">
        <f t="shared" ref="AB74:AB92" si="238">SUM(X74:AA74)</f>
        <v>0</v>
      </c>
      <c r="AC74" s="24"/>
      <c r="AD74" s="24"/>
      <c r="AE74" s="24"/>
      <c r="AF74" s="25">
        <f t="shared" ref="AF74:AF92" si="239">SUM(AB74:AE74)</f>
        <v>0</v>
      </c>
      <c r="AG74" s="24"/>
      <c r="AH74" s="24"/>
      <c r="AI74" s="24"/>
      <c r="AJ74" s="25">
        <f t="shared" ref="AJ74:AJ92" si="240">SUM(AF74:AI74)</f>
        <v>0</v>
      </c>
      <c r="AK74" s="24"/>
      <c r="AL74" s="24"/>
      <c r="AM74" s="24"/>
      <c r="AN74" s="25">
        <f t="shared" ref="AN74:AN92" si="241">SUM(AJ74:AM74)</f>
        <v>0</v>
      </c>
      <c r="AO74" s="24"/>
      <c r="AP74" s="24"/>
      <c r="AQ74" s="24"/>
      <c r="AR74" s="25">
        <f t="shared" ref="AR74:AR92" si="242">SUM(AN74:AQ74)</f>
        <v>0</v>
      </c>
      <c r="AS74" s="24"/>
      <c r="AT74" s="24"/>
      <c r="AU74" s="24"/>
      <c r="AV74" s="21"/>
      <c r="AW74" s="24"/>
      <c r="AX74" s="24"/>
      <c r="AY74" s="24"/>
      <c r="AZ74" s="21">
        <f t="shared" ref="AZ74:AZ92" si="243">SUM(AV74:AY74)</f>
        <v>0</v>
      </c>
      <c r="BA74" s="24"/>
      <c r="BB74" s="24"/>
      <c r="BC74" s="24"/>
      <c r="BD74" s="21">
        <f t="shared" ref="BD74:BD92" si="244">SUM(AZ74:BC74)</f>
        <v>0</v>
      </c>
      <c r="BE74" s="24"/>
      <c r="BF74" s="24"/>
      <c r="BG74" s="24"/>
      <c r="BH74" s="21">
        <f t="shared" ref="BH74:BH92" si="245">SUM(BD74:BG74)</f>
        <v>0</v>
      </c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</row>
    <row r="75">
      <c r="A75" s="69"/>
      <c r="B75" s="40" t="s">
        <v>83</v>
      </c>
      <c r="C75" s="40">
        <v>1.0</v>
      </c>
      <c r="D75" s="40"/>
      <c r="E75" s="40">
        <v>22.0</v>
      </c>
      <c r="F75" s="35">
        <f t="shared" ref="F75:F92" si="246">E75+1</f>
        <v>23</v>
      </c>
      <c r="G75" s="37">
        <f t="shared" ref="G75:G92" si="247">$BH75/F75</f>
        <v>0.6086956522</v>
      </c>
      <c r="H75" s="38">
        <v>13.0</v>
      </c>
      <c r="I75" s="38">
        <f t="shared" ref="I75:I85" si="248">+H75+J75</f>
        <v>15</v>
      </c>
      <c r="J75" s="70">
        <v>2.0</v>
      </c>
      <c r="K75" s="40">
        <v>2027.0</v>
      </c>
      <c r="L75" s="40">
        <v>2025.0</v>
      </c>
      <c r="M75" s="40"/>
      <c r="N75" s="40">
        <v>1.0</v>
      </c>
      <c r="O75" s="40"/>
      <c r="P75" s="39">
        <f t="shared" ref="P75:P92" si="249">H75+SUM(M75:O75)</f>
        <v>14</v>
      </c>
      <c r="Q75" s="40"/>
      <c r="R75" s="40"/>
      <c r="S75" s="40"/>
      <c r="T75" s="39">
        <f t="shared" si="236"/>
        <v>14</v>
      </c>
      <c r="U75" s="40"/>
      <c r="V75" s="40"/>
      <c r="W75" s="40"/>
      <c r="X75" s="39">
        <f t="shared" si="237"/>
        <v>14</v>
      </c>
      <c r="Y75" s="40"/>
      <c r="Z75" s="40"/>
      <c r="AA75" s="40"/>
      <c r="AB75" s="39">
        <f t="shared" si="238"/>
        <v>14</v>
      </c>
      <c r="AC75" s="40"/>
      <c r="AD75" s="40"/>
      <c r="AE75" s="40"/>
      <c r="AF75" s="39">
        <f t="shared" si="239"/>
        <v>14</v>
      </c>
      <c r="AG75" s="40"/>
      <c r="AH75" s="40"/>
      <c r="AI75" s="40"/>
      <c r="AJ75" s="39">
        <f t="shared" si="240"/>
        <v>14</v>
      </c>
      <c r="AK75" s="40"/>
      <c r="AL75" s="40"/>
      <c r="AM75" s="40"/>
      <c r="AN75" s="39">
        <f t="shared" si="241"/>
        <v>14</v>
      </c>
      <c r="AO75" s="40"/>
      <c r="AP75" s="40"/>
      <c r="AQ75" s="40"/>
      <c r="AR75" s="39">
        <f t="shared" si="242"/>
        <v>14</v>
      </c>
      <c r="AS75" s="40"/>
      <c r="AT75" s="40"/>
      <c r="AU75" s="40"/>
      <c r="AV75" s="39">
        <f t="shared" ref="AV75:AV92" si="250">SUM(AR75:AU75)</f>
        <v>14</v>
      </c>
      <c r="AW75" s="40"/>
      <c r="AX75" s="40"/>
      <c r="AY75" s="40"/>
      <c r="AZ75" s="39">
        <f t="shared" si="243"/>
        <v>14</v>
      </c>
      <c r="BA75" s="71"/>
      <c r="BB75" s="40"/>
      <c r="BC75" s="40"/>
      <c r="BD75" s="39">
        <f t="shared" si="244"/>
        <v>14</v>
      </c>
      <c r="BE75" s="40"/>
      <c r="BF75" s="40"/>
      <c r="BG75" s="40"/>
      <c r="BH75" s="39">
        <f t="shared" si="245"/>
        <v>14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</row>
    <row r="76">
      <c r="A76" s="69"/>
      <c r="B76" s="21" t="s">
        <v>84</v>
      </c>
      <c r="C76" s="21">
        <v>2.0</v>
      </c>
      <c r="D76" s="21">
        <v>4643.0</v>
      </c>
      <c r="E76" s="21">
        <v>26.0</v>
      </c>
      <c r="F76" s="35">
        <f t="shared" si="246"/>
        <v>27</v>
      </c>
      <c r="G76" s="37">
        <f t="shared" si="247"/>
        <v>1.111111111</v>
      </c>
      <c r="H76" s="23">
        <v>18.0</v>
      </c>
      <c r="I76" s="23">
        <f t="shared" si="248"/>
        <v>18</v>
      </c>
      <c r="J76" s="25"/>
      <c r="K76" s="24">
        <v>2025.0</v>
      </c>
      <c r="L76" s="40">
        <v>2026.0</v>
      </c>
      <c r="M76" s="21"/>
      <c r="N76" s="21"/>
      <c r="O76" s="21"/>
      <c r="P76" s="25">
        <f t="shared" si="249"/>
        <v>18</v>
      </c>
      <c r="Q76" s="21"/>
      <c r="R76" s="21"/>
      <c r="S76" s="21"/>
      <c r="T76" s="25">
        <f t="shared" si="236"/>
        <v>18</v>
      </c>
      <c r="U76" s="21"/>
      <c r="V76" s="21"/>
      <c r="W76" s="21"/>
      <c r="X76" s="25">
        <f t="shared" si="237"/>
        <v>18</v>
      </c>
      <c r="Y76" s="21"/>
      <c r="Z76" s="21"/>
      <c r="AA76" s="21"/>
      <c r="AB76" s="25">
        <f t="shared" si="238"/>
        <v>18</v>
      </c>
      <c r="AC76" s="21"/>
      <c r="AD76" s="21"/>
      <c r="AE76" s="21"/>
      <c r="AF76" s="25">
        <f t="shared" si="239"/>
        <v>18</v>
      </c>
      <c r="AG76" s="21"/>
      <c r="AH76" s="21"/>
      <c r="AI76" s="21"/>
      <c r="AJ76" s="25">
        <f t="shared" si="240"/>
        <v>18</v>
      </c>
      <c r="AK76" s="21"/>
      <c r="AL76" s="21"/>
      <c r="AM76" s="21"/>
      <c r="AN76" s="25">
        <f t="shared" si="241"/>
        <v>18</v>
      </c>
      <c r="AO76" s="21"/>
      <c r="AP76" s="21"/>
      <c r="AQ76" s="21"/>
      <c r="AR76" s="25">
        <f t="shared" si="242"/>
        <v>18</v>
      </c>
      <c r="AS76" s="21"/>
      <c r="AT76" s="21"/>
      <c r="AU76" s="21"/>
      <c r="AV76" s="25">
        <f t="shared" si="250"/>
        <v>18</v>
      </c>
      <c r="AW76" s="18">
        <v>2.0</v>
      </c>
      <c r="AX76" s="18">
        <v>10.0</v>
      </c>
      <c r="AY76" s="21"/>
      <c r="AZ76" s="25">
        <f t="shared" si="243"/>
        <v>30</v>
      </c>
      <c r="BA76" s="21"/>
      <c r="BB76" s="21"/>
      <c r="BC76" s="21"/>
      <c r="BD76" s="25">
        <f t="shared" si="244"/>
        <v>30</v>
      </c>
      <c r="BE76" s="21"/>
      <c r="BF76" s="21"/>
      <c r="BG76" s="21"/>
      <c r="BH76" s="25">
        <f t="shared" si="245"/>
        <v>30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9"/>
      <c r="B77" s="21" t="s">
        <v>85</v>
      </c>
      <c r="C77" s="21">
        <v>8.0</v>
      </c>
      <c r="D77" s="21" t="s">
        <v>73</v>
      </c>
      <c r="E77" s="21">
        <v>24.0</v>
      </c>
      <c r="F77" s="35">
        <f t="shared" si="246"/>
        <v>25</v>
      </c>
      <c r="G77" s="37">
        <f t="shared" si="247"/>
        <v>1.12</v>
      </c>
      <c r="H77" s="23">
        <v>19.0</v>
      </c>
      <c r="I77" s="23">
        <f t="shared" si="248"/>
        <v>20</v>
      </c>
      <c r="J77" s="25">
        <v>1.0</v>
      </c>
      <c r="K77" s="24">
        <v>2027.0</v>
      </c>
      <c r="L77" s="40">
        <v>2025.0</v>
      </c>
      <c r="M77" s="21"/>
      <c r="N77" s="21"/>
      <c r="O77" s="21"/>
      <c r="P77" s="25">
        <f t="shared" si="249"/>
        <v>19</v>
      </c>
      <c r="Q77" s="21"/>
      <c r="R77" s="21"/>
      <c r="S77" s="21"/>
      <c r="T77" s="25">
        <f t="shared" si="236"/>
        <v>19</v>
      </c>
      <c r="U77" s="21">
        <v>2.0</v>
      </c>
      <c r="V77" s="21"/>
      <c r="W77" s="21">
        <v>4.0</v>
      </c>
      <c r="X77" s="25">
        <f t="shared" si="237"/>
        <v>25</v>
      </c>
      <c r="Y77" s="21"/>
      <c r="Z77" s="21"/>
      <c r="AA77" s="21"/>
      <c r="AB77" s="25">
        <f t="shared" si="238"/>
        <v>25</v>
      </c>
      <c r="AC77" s="21"/>
      <c r="AD77" s="21"/>
      <c r="AE77" s="21"/>
      <c r="AF77" s="25">
        <f t="shared" si="239"/>
        <v>25</v>
      </c>
      <c r="AG77" s="21"/>
      <c r="AH77" s="21"/>
      <c r="AI77" s="21"/>
      <c r="AJ77" s="25">
        <f t="shared" si="240"/>
        <v>25</v>
      </c>
      <c r="AK77" s="21">
        <v>3.0</v>
      </c>
      <c r="AL77" s="21"/>
      <c r="AM77" s="21"/>
      <c r="AN77" s="25">
        <f t="shared" si="241"/>
        <v>28</v>
      </c>
      <c r="AO77" s="21"/>
      <c r="AP77" s="21"/>
      <c r="AQ77" s="21"/>
      <c r="AR77" s="25">
        <f t="shared" si="242"/>
        <v>28</v>
      </c>
      <c r="AS77" s="21"/>
      <c r="AT77" s="21"/>
      <c r="AU77" s="21"/>
      <c r="AV77" s="25">
        <f t="shared" si="250"/>
        <v>28</v>
      </c>
      <c r="AW77" s="21"/>
      <c r="AX77" s="21"/>
      <c r="AY77" s="21"/>
      <c r="AZ77" s="25">
        <f t="shared" si="243"/>
        <v>28</v>
      </c>
      <c r="BA77" s="21"/>
      <c r="BB77" s="21"/>
      <c r="BC77" s="21"/>
      <c r="BD77" s="25">
        <f t="shared" si="244"/>
        <v>28</v>
      </c>
      <c r="BE77" s="21"/>
      <c r="BF77" s="21"/>
      <c r="BG77" s="21"/>
      <c r="BH77" s="25">
        <f t="shared" si="245"/>
        <v>28</v>
      </c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</row>
    <row r="78">
      <c r="A78" s="69"/>
      <c r="B78" s="35" t="s">
        <v>86</v>
      </c>
      <c r="C78" s="35">
        <v>17.0</v>
      </c>
      <c r="D78" s="35">
        <v>2488.0</v>
      </c>
      <c r="E78" s="35">
        <v>25.0</v>
      </c>
      <c r="F78" s="35">
        <f t="shared" si="246"/>
        <v>26</v>
      </c>
      <c r="G78" s="37">
        <f t="shared" si="247"/>
        <v>0.5</v>
      </c>
      <c r="H78" s="38">
        <v>12.0</v>
      </c>
      <c r="I78" s="38">
        <f t="shared" si="248"/>
        <v>12</v>
      </c>
      <c r="J78" s="39"/>
      <c r="K78" s="40">
        <v>2025.0</v>
      </c>
      <c r="L78" s="40">
        <v>2025.0</v>
      </c>
      <c r="M78" s="35"/>
      <c r="N78" s="35"/>
      <c r="O78" s="35"/>
      <c r="P78" s="39">
        <f t="shared" si="249"/>
        <v>12</v>
      </c>
      <c r="Q78" s="35"/>
      <c r="R78" s="35"/>
      <c r="S78" s="35"/>
      <c r="T78" s="39">
        <f t="shared" si="236"/>
        <v>12</v>
      </c>
      <c r="U78" s="35"/>
      <c r="V78" s="35"/>
      <c r="W78" s="35"/>
      <c r="X78" s="39">
        <f t="shared" si="237"/>
        <v>12</v>
      </c>
      <c r="Y78" s="35"/>
      <c r="Z78" s="35"/>
      <c r="AA78" s="35"/>
      <c r="AB78" s="39">
        <f t="shared" si="238"/>
        <v>12</v>
      </c>
      <c r="AC78" s="35"/>
      <c r="AD78" s="35"/>
      <c r="AE78" s="35"/>
      <c r="AF78" s="39">
        <f t="shared" si="239"/>
        <v>12</v>
      </c>
      <c r="AG78" s="35"/>
      <c r="AH78" s="35"/>
      <c r="AI78" s="35"/>
      <c r="AJ78" s="39">
        <f t="shared" si="240"/>
        <v>12</v>
      </c>
      <c r="AK78" s="35"/>
      <c r="AL78" s="35"/>
      <c r="AM78" s="35"/>
      <c r="AN78" s="39">
        <f t="shared" si="241"/>
        <v>12</v>
      </c>
      <c r="AO78" s="35"/>
      <c r="AP78" s="35"/>
      <c r="AQ78" s="35"/>
      <c r="AR78" s="39">
        <f t="shared" si="242"/>
        <v>12</v>
      </c>
      <c r="AS78" s="35"/>
      <c r="AT78" s="35"/>
      <c r="AU78" s="35"/>
      <c r="AV78" s="39">
        <f t="shared" si="250"/>
        <v>12</v>
      </c>
      <c r="AW78" s="41">
        <v>1.0</v>
      </c>
      <c r="AX78" s="35"/>
      <c r="AY78" s="35"/>
      <c r="AZ78" s="39">
        <f t="shared" si="243"/>
        <v>13</v>
      </c>
      <c r="BA78" s="35"/>
      <c r="BB78" s="35"/>
      <c r="BC78" s="35"/>
      <c r="BD78" s="39">
        <f t="shared" si="244"/>
        <v>13</v>
      </c>
      <c r="BE78" s="35"/>
      <c r="BF78" s="35"/>
      <c r="BG78" s="35"/>
      <c r="BH78" s="39">
        <f t="shared" si="245"/>
        <v>13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9"/>
      <c r="B79" s="35" t="s">
        <v>87</v>
      </c>
      <c r="C79" s="35">
        <v>18.0</v>
      </c>
      <c r="D79" s="35">
        <v>9272.0</v>
      </c>
      <c r="E79" s="35">
        <v>14.0</v>
      </c>
      <c r="F79" s="35">
        <f t="shared" si="246"/>
        <v>15</v>
      </c>
      <c r="G79" s="37">
        <f t="shared" si="247"/>
        <v>1</v>
      </c>
      <c r="H79" s="38">
        <v>11.0</v>
      </c>
      <c r="I79" s="38">
        <f t="shared" si="248"/>
        <v>11</v>
      </c>
      <c r="J79" s="39"/>
      <c r="K79" s="40">
        <v>2027.0</v>
      </c>
      <c r="L79" s="40">
        <v>2026.0</v>
      </c>
      <c r="M79" s="35"/>
      <c r="N79" s="35"/>
      <c r="O79" s="35"/>
      <c r="P79" s="39">
        <f t="shared" si="249"/>
        <v>11</v>
      </c>
      <c r="Q79" s="35">
        <v>1.0</v>
      </c>
      <c r="R79" s="35">
        <v>3.0</v>
      </c>
      <c r="S79" s="35"/>
      <c r="T79" s="39">
        <f t="shared" si="236"/>
        <v>15</v>
      </c>
      <c r="U79" s="35"/>
      <c r="V79" s="35"/>
      <c r="W79" s="35"/>
      <c r="X79" s="39">
        <f t="shared" si="237"/>
        <v>15</v>
      </c>
      <c r="Y79" s="35"/>
      <c r="Z79" s="35"/>
      <c r="AA79" s="35"/>
      <c r="AB79" s="39">
        <f t="shared" si="238"/>
        <v>15</v>
      </c>
      <c r="AC79" s="35"/>
      <c r="AD79" s="35"/>
      <c r="AE79" s="35"/>
      <c r="AF79" s="39">
        <f t="shared" si="239"/>
        <v>15</v>
      </c>
      <c r="AG79" s="35"/>
      <c r="AH79" s="35"/>
      <c r="AI79" s="35"/>
      <c r="AJ79" s="39">
        <f t="shared" si="240"/>
        <v>15</v>
      </c>
      <c r="AK79" s="35"/>
      <c r="AL79" s="35"/>
      <c r="AM79" s="35"/>
      <c r="AN79" s="39">
        <f t="shared" si="241"/>
        <v>15</v>
      </c>
      <c r="AO79" s="35"/>
      <c r="AP79" s="35"/>
      <c r="AQ79" s="35"/>
      <c r="AR79" s="39">
        <f t="shared" si="242"/>
        <v>15</v>
      </c>
      <c r="AS79" s="35"/>
      <c r="AT79" s="35"/>
      <c r="AU79" s="35"/>
      <c r="AV79" s="39">
        <f t="shared" si="250"/>
        <v>15</v>
      </c>
      <c r="AW79" s="35"/>
      <c r="AX79" s="35"/>
      <c r="AY79" s="35"/>
      <c r="AZ79" s="39">
        <f t="shared" si="243"/>
        <v>15</v>
      </c>
      <c r="BA79" s="35"/>
      <c r="BB79" s="35"/>
      <c r="BC79" s="35"/>
      <c r="BD79" s="39">
        <f t="shared" si="244"/>
        <v>15</v>
      </c>
      <c r="BE79" s="35"/>
      <c r="BF79" s="35"/>
      <c r="BG79" s="35"/>
      <c r="BH79" s="39">
        <f t="shared" si="245"/>
        <v>15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9"/>
      <c r="B80" s="35" t="s">
        <v>88</v>
      </c>
      <c r="C80" s="35">
        <v>23.0</v>
      </c>
      <c r="D80" s="35">
        <v>7909.0</v>
      </c>
      <c r="E80" s="35">
        <v>28.0</v>
      </c>
      <c r="F80" s="35">
        <f t="shared" si="246"/>
        <v>29</v>
      </c>
      <c r="G80" s="37">
        <f t="shared" si="247"/>
        <v>0.7931034483</v>
      </c>
      <c r="H80" s="38">
        <v>12.0</v>
      </c>
      <c r="I80" s="38">
        <f t="shared" si="248"/>
        <v>12</v>
      </c>
      <c r="J80" s="39"/>
      <c r="K80" s="40">
        <v>2027.0</v>
      </c>
      <c r="L80" s="40">
        <v>2025.0</v>
      </c>
      <c r="M80" s="35"/>
      <c r="N80" s="35"/>
      <c r="O80" s="35"/>
      <c r="P80" s="39">
        <f t="shared" si="249"/>
        <v>12</v>
      </c>
      <c r="Q80" s="35"/>
      <c r="R80" s="35">
        <v>9.0</v>
      </c>
      <c r="S80" s="35"/>
      <c r="T80" s="39">
        <f t="shared" si="236"/>
        <v>21</v>
      </c>
      <c r="U80" s="35"/>
      <c r="V80" s="35"/>
      <c r="W80" s="35"/>
      <c r="X80" s="39">
        <f t="shared" si="237"/>
        <v>21</v>
      </c>
      <c r="Y80" s="35"/>
      <c r="Z80" s="35"/>
      <c r="AA80" s="35"/>
      <c r="AB80" s="39">
        <f t="shared" si="238"/>
        <v>21</v>
      </c>
      <c r="AC80" s="35"/>
      <c r="AD80" s="35"/>
      <c r="AE80" s="35"/>
      <c r="AF80" s="39">
        <f t="shared" si="239"/>
        <v>21</v>
      </c>
      <c r="AG80" s="35"/>
      <c r="AH80" s="35"/>
      <c r="AI80" s="35"/>
      <c r="AJ80" s="39">
        <f t="shared" si="240"/>
        <v>21</v>
      </c>
      <c r="AK80" s="35"/>
      <c r="AL80" s="35"/>
      <c r="AM80" s="35"/>
      <c r="AN80" s="39">
        <f t="shared" si="241"/>
        <v>21</v>
      </c>
      <c r="AO80" s="35"/>
      <c r="AP80" s="35"/>
      <c r="AQ80" s="35"/>
      <c r="AR80" s="39">
        <f t="shared" si="242"/>
        <v>21</v>
      </c>
      <c r="AS80" s="35"/>
      <c r="AT80" s="35"/>
      <c r="AU80" s="35"/>
      <c r="AV80" s="39">
        <f t="shared" si="250"/>
        <v>21</v>
      </c>
      <c r="AW80" s="35"/>
      <c r="AX80" s="41">
        <v>2.0</v>
      </c>
      <c r="AY80" s="35"/>
      <c r="AZ80" s="39">
        <f t="shared" si="243"/>
        <v>23</v>
      </c>
      <c r="BA80" s="35"/>
      <c r="BB80" s="35"/>
      <c r="BC80" s="35"/>
      <c r="BD80" s="39">
        <f t="shared" si="244"/>
        <v>23</v>
      </c>
      <c r="BE80" s="35"/>
      <c r="BF80" s="35"/>
      <c r="BG80" s="35"/>
      <c r="BH80" s="39">
        <f t="shared" si="245"/>
        <v>23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</row>
    <row r="81">
      <c r="A81" s="69"/>
      <c r="B81" s="49" t="s">
        <v>89</v>
      </c>
      <c r="C81" s="21">
        <v>25.0</v>
      </c>
      <c r="D81" s="21">
        <v>5625.0</v>
      </c>
      <c r="E81" s="21">
        <v>15.0</v>
      </c>
      <c r="F81" s="35">
        <f t="shared" si="246"/>
        <v>16</v>
      </c>
      <c r="G81" s="37">
        <f t="shared" si="247"/>
        <v>1.5</v>
      </c>
      <c r="H81" s="23">
        <v>6.0</v>
      </c>
      <c r="I81" s="23">
        <f t="shared" si="248"/>
        <v>6</v>
      </c>
      <c r="J81" s="25"/>
      <c r="K81" s="24">
        <v>2027.0</v>
      </c>
      <c r="L81" s="40">
        <v>2025.0</v>
      </c>
      <c r="M81" s="21">
        <v>1.0</v>
      </c>
      <c r="N81" s="21">
        <v>17.0</v>
      </c>
      <c r="O81" s="21"/>
      <c r="P81" s="25">
        <f t="shared" si="249"/>
        <v>24</v>
      </c>
      <c r="Q81" s="21"/>
      <c r="R81" s="21"/>
      <c r="S81" s="21"/>
      <c r="T81" s="25">
        <f t="shared" si="236"/>
        <v>24</v>
      </c>
      <c r="U81" s="21"/>
      <c r="V81" s="21"/>
      <c r="W81" s="21"/>
      <c r="X81" s="25">
        <f t="shared" si="237"/>
        <v>24</v>
      </c>
      <c r="Y81" s="21"/>
      <c r="Z81" s="21"/>
      <c r="AA81" s="21"/>
      <c r="AB81" s="25">
        <f t="shared" si="238"/>
        <v>24</v>
      </c>
      <c r="AC81" s="21"/>
      <c r="AD81" s="21"/>
      <c r="AE81" s="21"/>
      <c r="AF81" s="25">
        <f t="shared" si="239"/>
        <v>24</v>
      </c>
      <c r="AG81" s="21"/>
      <c r="AH81" s="21"/>
      <c r="AI81" s="21"/>
      <c r="AJ81" s="25">
        <f t="shared" si="240"/>
        <v>24</v>
      </c>
      <c r="AK81" s="21"/>
      <c r="AL81" s="21"/>
      <c r="AM81" s="21"/>
      <c r="AN81" s="25">
        <f t="shared" si="241"/>
        <v>24</v>
      </c>
      <c r="AO81" s="21"/>
      <c r="AP81" s="21"/>
      <c r="AQ81" s="21"/>
      <c r="AR81" s="25">
        <f t="shared" si="242"/>
        <v>24</v>
      </c>
      <c r="AS81" s="21"/>
      <c r="AT81" s="21"/>
      <c r="AU81" s="21"/>
      <c r="AV81" s="25">
        <f t="shared" si="250"/>
        <v>24</v>
      </c>
      <c r="AW81" s="21"/>
      <c r="AX81" s="21"/>
      <c r="AY81" s="21"/>
      <c r="AZ81" s="25">
        <f t="shared" si="243"/>
        <v>24</v>
      </c>
      <c r="BA81" s="21"/>
      <c r="BB81" s="21"/>
      <c r="BC81" s="21"/>
      <c r="BD81" s="25">
        <f t="shared" si="244"/>
        <v>24</v>
      </c>
      <c r="BE81" s="21"/>
      <c r="BF81" s="21"/>
      <c r="BG81" s="21"/>
      <c r="BH81" s="25">
        <f t="shared" si="245"/>
        <v>24</v>
      </c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</row>
    <row r="82">
      <c r="A82" s="69"/>
      <c r="B82" s="72" t="s">
        <v>90</v>
      </c>
      <c r="C82" s="35">
        <v>29.0</v>
      </c>
      <c r="D82" s="35"/>
      <c r="E82" s="35">
        <v>28.0</v>
      </c>
      <c r="F82" s="35">
        <f t="shared" si="246"/>
        <v>29</v>
      </c>
      <c r="G82" s="37">
        <f t="shared" si="247"/>
        <v>0.4137931034</v>
      </c>
      <c r="H82" s="38">
        <v>7.0</v>
      </c>
      <c r="I82" s="38">
        <f t="shared" si="248"/>
        <v>8</v>
      </c>
      <c r="J82" s="73">
        <v>1.0</v>
      </c>
      <c r="K82" s="40">
        <v>2025.0</v>
      </c>
      <c r="L82" s="40">
        <v>2025.0</v>
      </c>
      <c r="M82" s="35"/>
      <c r="N82" s="35"/>
      <c r="O82" s="35"/>
      <c r="P82" s="39">
        <f t="shared" si="249"/>
        <v>7</v>
      </c>
      <c r="Q82" s="35"/>
      <c r="R82" s="35"/>
      <c r="S82" s="35"/>
      <c r="T82" s="39">
        <f t="shared" si="236"/>
        <v>7</v>
      </c>
      <c r="U82" s="35"/>
      <c r="V82" s="35"/>
      <c r="W82" s="35"/>
      <c r="X82" s="39">
        <f t="shared" si="237"/>
        <v>7</v>
      </c>
      <c r="Y82" s="35"/>
      <c r="Z82" s="35"/>
      <c r="AA82" s="35"/>
      <c r="AB82" s="39">
        <f t="shared" si="238"/>
        <v>7</v>
      </c>
      <c r="AC82" s="35"/>
      <c r="AD82" s="35"/>
      <c r="AE82" s="35"/>
      <c r="AF82" s="39">
        <f t="shared" si="239"/>
        <v>7</v>
      </c>
      <c r="AG82" s="35"/>
      <c r="AH82" s="35"/>
      <c r="AI82" s="35"/>
      <c r="AJ82" s="39">
        <f t="shared" si="240"/>
        <v>7</v>
      </c>
      <c r="AK82" s="35"/>
      <c r="AL82" s="35"/>
      <c r="AM82" s="35"/>
      <c r="AN82" s="39">
        <f t="shared" si="241"/>
        <v>7</v>
      </c>
      <c r="AO82" s="35"/>
      <c r="AP82" s="35"/>
      <c r="AQ82" s="35"/>
      <c r="AR82" s="39">
        <f t="shared" si="242"/>
        <v>7</v>
      </c>
      <c r="AS82" s="35"/>
      <c r="AT82" s="35"/>
      <c r="AU82" s="35"/>
      <c r="AV82" s="39">
        <f t="shared" si="250"/>
        <v>7</v>
      </c>
      <c r="AW82" s="41">
        <v>3.0</v>
      </c>
      <c r="AX82" s="35"/>
      <c r="AY82" s="41">
        <v>1.0</v>
      </c>
      <c r="AZ82" s="39">
        <f t="shared" si="243"/>
        <v>11</v>
      </c>
      <c r="BA82" s="35"/>
      <c r="BB82" s="35"/>
      <c r="BC82" s="35"/>
      <c r="BD82" s="39">
        <f t="shared" si="244"/>
        <v>11</v>
      </c>
      <c r="BE82" s="35"/>
      <c r="BF82" s="41">
        <v>1.0</v>
      </c>
      <c r="BG82" s="35"/>
      <c r="BH82" s="39">
        <f t="shared" si="245"/>
        <v>12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</row>
    <row r="83">
      <c r="A83" s="69"/>
      <c r="B83" s="21" t="s">
        <v>91</v>
      </c>
      <c r="C83" s="21">
        <v>32.0</v>
      </c>
      <c r="D83" s="21">
        <v>10094.0</v>
      </c>
      <c r="E83" s="21">
        <v>21.0</v>
      </c>
      <c r="F83" s="35">
        <f t="shared" si="246"/>
        <v>22</v>
      </c>
      <c r="G83" s="37">
        <f t="shared" si="247"/>
        <v>0.7727272727</v>
      </c>
      <c r="H83" s="23">
        <v>13.0</v>
      </c>
      <c r="I83" s="23">
        <f t="shared" si="248"/>
        <v>13</v>
      </c>
      <c r="J83" s="25"/>
      <c r="K83" s="24">
        <v>2027.0</v>
      </c>
      <c r="L83" s="40">
        <v>2025.0</v>
      </c>
      <c r="M83" s="21"/>
      <c r="N83" s="21">
        <v>1.0</v>
      </c>
      <c r="O83" s="21"/>
      <c r="P83" s="25">
        <f t="shared" si="249"/>
        <v>14</v>
      </c>
      <c r="Q83" s="21"/>
      <c r="R83" s="21"/>
      <c r="S83" s="21"/>
      <c r="T83" s="25">
        <f t="shared" si="236"/>
        <v>14</v>
      </c>
      <c r="U83" s="21"/>
      <c r="V83" s="21"/>
      <c r="W83" s="21"/>
      <c r="X83" s="25">
        <f t="shared" si="237"/>
        <v>14</v>
      </c>
      <c r="Y83" s="21"/>
      <c r="Z83" s="21"/>
      <c r="AA83" s="21"/>
      <c r="AB83" s="25">
        <f t="shared" si="238"/>
        <v>14</v>
      </c>
      <c r="AC83" s="21"/>
      <c r="AD83" s="21"/>
      <c r="AE83" s="21"/>
      <c r="AF83" s="25">
        <f t="shared" si="239"/>
        <v>14</v>
      </c>
      <c r="AG83" s="21"/>
      <c r="AH83" s="21"/>
      <c r="AI83" s="21"/>
      <c r="AJ83" s="25">
        <f t="shared" si="240"/>
        <v>14</v>
      </c>
      <c r="AK83" s="21"/>
      <c r="AL83" s="18">
        <v>2.0</v>
      </c>
      <c r="AM83" s="21"/>
      <c r="AN83" s="25">
        <f t="shared" si="241"/>
        <v>16</v>
      </c>
      <c r="AO83" s="21"/>
      <c r="AP83" s="21"/>
      <c r="AQ83" s="21"/>
      <c r="AR83" s="25">
        <f t="shared" si="242"/>
        <v>16</v>
      </c>
      <c r="AS83" s="21"/>
      <c r="AT83" s="21"/>
      <c r="AU83" s="21"/>
      <c r="AV83" s="25">
        <f t="shared" si="250"/>
        <v>16</v>
      </c>
      <c r="AW83" s="21"/>
      <c r="AX83" s="18">
        <v>1.0</v>
      </c>
      <c r="AY83" s="21"/>
      <c r="AZ83" s="25">
        <f t="shared" si="243"/>
        <v>17</v>
      </c>
      <c r="BA83" s="21"/>
      <c r="BB83" s="21"/>
      <c r="BC83" s="21"/>
      <c r="BD83" s="25">
        <f t="shared" si="244"/>
        <v>17</v>
      </c>
      <c r="BE83" s="21"/>
      <c r="BG83" s="21"/>
      <c r="BH83" s="25">
        <f t="shared" si="245"/>
        <v>17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>
      <c r="A84" s="69"/>
      <c r="B84" s="21" t="s">
        <v>92</v>
      </c>
      <c r="C84" s="21">
        <v>41.0</v>
      </c>
      <c r="D84" s="21">
        <v>7674.0</v>
      </c>
      <c r="E84" s="21">
        <v>30.0</v>
      </c>
      <c r="F84" s="35">
        <f t="shared" si="246"/>
        <v>31</v>
      </c>
      <c r="G84" s="37">
        <f t="shared" si="247"/>
        <v>1</v>
      </c>
      <c r="H84" s="23">
        <v>21.0</v>
      </c>
      <c r="I84" s="23">
        <f t="shared" si="248"/>
        <v>23</v>
      </c>
      <c r="J84" s="55">
        <v>2.0</v>
      </c>
      <c r="K84" s="24">
        <v>2027.0</v>
      </c>
      <c r="L84" s="40">
        <v>2025.0</v>
      </c>
      <c r="M84" s="21"/>
      <c r="N84" s="21">
        <v>8.0</v>
      </c>
      <c r="O84" s="21"/>
      <c r="P84" s="25">
        <f t="shared" si="249"/>
        <v>29</v>
      </c>
      <c r="Q84" s="21"/>
      <c r="R84" s="21"/>
      <c r="S84" s="21"/>
      <c r="T84" s="25">
        <f t="shared" si="236"/>
        <v>29</v>
      </c>
      <c r="U84" s="21">
        <v>2.0</v>
      </c>
      <c r="V84" s="21"/>
      <c r="W84" s="21"/>
      <c r="X84" s="25">
        <f t="shared" si="237"/>
        <v>31</v>
      </c>
      <c r="Y84" s="21"/>
      <c r="Z84" s="21"/>
      <c r="AA84" s="21"/>
      <c r="AB84" s="25">
        <f t="shared" si="238"/>
        <v>31</v>
      </c>
      <c r="AC84" s="21"/>
      <c r="AD84" s="21"/>
      <c r="AE84" s="21"/>
      <c r="AF84" s="25">
        <f t="shared" si="239"/>
        <v>31</v>
      </c>
      <c r="AG84" s="21"/>
      <c r="AH84" s="21"/>
      <c r="AI84" s="21"/>
      <c r="AJ84" s="25">
        <f t="shared" si="240"/>
        <v>31</v>
      </c>
      <c r="AK84" s="21"/>
      <c r="AL84" s="21"/>
      <c r="AM84" s="21"/>
      <c r="AN84" s="25">
        <f t="shared" si="241"/>
        <v>31</v>
      </c>
      <c r="AO84" s="21"/>
      <c r="AP84" s="21"/>
      <c r="AQ84" s="21"/>
      <c r="AR84" s="25">
        <f t="shared" si="242"/>
        <v>31</v>
      </c>
      <c r="AS84" s="21"/>
      <c r="AT84" s="21"/>
      <c r="AU84" s="21"/>
      <c r="AV84" s="25">
        <f t="shared" si="250"/>
        <v>31</v>
      </c>
      <c r="AW84" s="21"/>
      <c r="AX84" s="21"/>
      <c r="AY84" s="21"/>
      <c r="AZ84" s="25">
        <f t="shared" si="243"/>
        <v>31</v>
      </c>
      <c r="BA84" s="21"/>
      <c r="BB84" s="21"/>
      <c r="BC84" s="21"/>
      <c r="BD84" s="25">
        <f t="shared" si="244"/>
        <v>31</v>
      </c>
      <c r="BE84" s="21"/>
      <c r="BF84" s="21"/>
      <c r="BG84" s="21"/>
      <c r="BH84" s="25">
        <f t="shared" si="245"/>
        <v>31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 ht="14.25" customHeight="1">
      <c r="A85" s="69"/>
      <c r="B85" s="53" t="s">
        <v>93</v>
      </c>
      <c r="C85" s="21">
        <v>44.0</v>
      </c>
      <c r="D85" s="21">
        <v>10132.0</v>
      </c>
      <c r="E85" s="21">
        <v>16.0</v>
      </c>
      <c r="F85" s="35">
        <f t="shared" si="246"/>
        <v>17</v>
      </c>
      <c r="G85" s="37">
        <f t="shared" si="247"/>
        <v>0.4705882353</v>
      </c>
      <c r="H85" s="23">
        <v>8.0</v>
      </c>
      <c r="I85" s="23">
        <f t="shared" si="248"/>
        <v>8</v>
      </c>
      <c r="J85" s="25"/>
      <c r="K85" s="24">
        <v>2027.0</v>
      </c>
      <c r="L85" s="40">
        <v>2025.0</v>
      </c>
      <c r="M85" s="21"/>
      <c r="N85" s="21"/>
      <c r="O85" s="21"/>
      <c r="P85" s="25">
        <f t="shared" si="249"/>
        <v>8</v>
      </c>
      <c r="Q85" s="21"/>
      <c r="R85" s="21"/>
      <c r="S85" s="21"/>
      <c r="T85" s="25">
        <f t="shared" si="236"/>
        <v>8</v>
      </c>
      <c r="U85" s="21"/>
      <c r="V85" s="21"/>
      <c r="W85" s="21"/>
      <c r="X85" s="25">
        <f t="shared" si="237"/>
        <v>8</v>
      </c>
      <c r="Y85" s="21"/>
      <c r="Z85" s="21"/>
      <c r="AA85" s="21"/>
      <c r="AB85" s="25">
        <f t="shared" si="238"/>
        <v>8</v>
      </c>
      <c r="AC85" s="21"/>
      <c r="AD85" s="21"/>
      <c r="AE85" s="21"/>
      <c r="AF85" s="25">
        <f t="shared" si="239"/>
        <v>8</v>
      </c>
      <c r="AG85" s="21"/>
      <c r="AH85" s="21"/>
      <c r="AI85" s="21"/>
      <c r="AJ85" s="25">
        <f t="shared" si="240"/>
        <v>8</v>
      </c>
      <c r="AK85" s="21"/>
      <c r="AL85" s="21"/>
      <c r="AM85" s="21"/>
      <c r="AN85" s="25">
        <f t="shared" si="241"/>
        <v>8</v>
      </c>
      <c r="AO85" s="21"/>
      <c r="AP85" s="21"/>
      <c r="AQ85" s="21"/>
      <c r="AR85" s="25">
        <f t="shared" si="242"/>
        <v>8</v>
      </c>
      <c r="AS85" s="21"/>
      <c r="AT85" s="21"/>
      <c r="AU85" s="21"/>
      <c r="AV85" s="25">
        <f t="shared" si="250"/>
        <v>8</v>
      </c>
      <c r="AW85" s="21"/>
      <c r="AX85" s="21"/>
      <c r="AY85" s="21"/>
      <c r="AZ85" s="25">
        <f t="shared" si="243"/>
        <v>8</v>
      </c>
      <c r="BA85" s="21"/>
      <c r="BB85" s="21"/>
      <c r="BC85" s="21"/>
      <c r="BD85" s="25">
        <f t="shared" si="244"/>
        <v>8</v>
      </c>
      <c r="BE85" s="21"/>
      <c r="BF85" s="21"/>
      <c r="BG85" s="21"/>
      <c r="BH85" s="25">
        <f t="shared" si="245"/>
        <v>8</v>
      </c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</row>
    <row r="86">
      <c r="A86" s="69"/>
      <c r="B86" s="72" t="s">
        <v>94</v>
      </c>
      <c r="C86" s="36">
        <v>51.0</v>
      </c>
      <c r="D86" s="36">
        <v>7987.0</v>
      </c>
      <c r="E86" s="36">
        <v>18.0</v>
      </c>
      <c r="F86" s="35">
        <f t="shared" si="246"/>
        <v>19</v>
      </c>
      <c r="G86" s="37">
        <f t="shared" si="247"/>
        <v>0.4736842105</v>
      </c>
      <c r="H86" s="38">
        <v>3.0</v>
      </c>
      <c r="I86" s="38">
        <v>3.0</v>
      </c>
      <c r="J86" s="39"/>
      <c r="K86" s="24">
        <v>2027.0</v>
      </c>
      <c r="L86" s="40">
        <v>2025.0</v>
      </c>
      <c r="M86" s="35"/>
      <c r="N86" s="35">
        <v>1.0</v>
      </c>
      <c r="O86" s="35"/>
      <c r="P86" s="39">
        <f t="shared" si="249"/>
        <v>4</v>
      </c>
      <c r="Q86" s="35"/>
      <c r="R86" s="35"/>
      <c r="S86" s="35"/>
      <c r="T86" s="39">
        <f t="shared" si="236"/>
        <v>4</v>
      </c>
      <c r="U86" s="35"/>
      <c r="V86" s="35"/>
      <c r="W86" s="35"/>
      <c r="X86" s="39">
        <f t="shared" si="237"/>
        <v>4</v>
      </c>
      <c r="Y86" s="35"/>
      <c r="Z86" s="35"/>
      <c r="AA86" s="35"/>
      <c r="AB86" s="39">
        <f t="shared" si="238"/>
        <v>4</v>
      </c>
      <c r="AC86" s="35"/>
      <c r="AD86" s="35"/>
      <c r="AE86" s="35"/>
      <c r="AF86" s="39">
        <f t="shared" si="239"/>
        <v>4</v>
      </c>
      <c r="AG86" s="35"/>
      <c r="AH86" s="35"/>
      <c r="AI86" s="35"/>
      <c r="AJ86" s="39">
        <f t="shared" si="240"/>
        <v>4</v>
      </c>
      <c r="AK86" s="35"/>
      <c r="AL86" s="35"/>
      <c r="AM86" s="35"/>
      <c r="AN86" s="39">
        <f t="shared" si="241"/>
        <v>4</v>
      </c>
      <c r="AO86" s="35"/>
      <c r="AP86" s="35"/>
      <c r="AQ86" s="35"/>
      <c r="AR86" s="39">
        <f t="shared" si="242"/>
        <v>4</v>
      </c>
      <c r="AS86" s="41">
        <v>5.0</v>
      </c>
      <c r="AT86" s="35"/>
      <c r="AU86" s="35"/>
      <c r="AV86" s="39">
        <f t="shared" si="250"/>
        <v>9</v>
      </c>
      <c r="AW86" s="35"/>
      <c r="AX86" s="35"/>
      <c r="AY86" s="35"/>
      <c r="AZ86" s="39">
        <f t="shared" si="243"/>
        <v>9</v>
      </c>
      <c r="BA86" s="35"/>
      <c r="BB86" s="35"/>
      <c r="BC86" s="35"/>
      <c r="BD86" s="39">
        <f t="shared" si="244"/>
        <v>9</v>
      </c>
      <c r="BE86" s="35"/>
      <c r="BF86" s="35"/>
      <c r="BG86" s="35"/>
      <c r="BH86" s="39">
        <f t="shared" si="245"/>
        <v>9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9"/>
      <c r="B87" s="72" t="s">
        <v>95</v>
      </c>
      <c r="C87" s="36">
        <v>55.0</v>
      </c>
      <c r="D87" s="36">
        <v>7987.0</v>
      </c>
      <c r="E87" s="36">
        <v>17.0</v>
      </c>
      <c r="F87" s="35">
        <f t="shared" si="246"/>
        <v>18</v>
      </c>
      <c r="G87" s="37">
        <f t="shared" si="247"/>
        <v>0.3333333333</v>
      </c>
      <c r="H87" s="38">
        <v>6.0</v>
      </c>
      <c r="I87" s="38">
        <f t="shared" ref="I87:I92" si="251">+H87+J87</f>
        <v>6</v>
      </c>
      <c r="J87" s="39"/>
      <c r="K87" s="24">
        <v>2027.0</v>
      </c>
      <c r="L87" s="40">
        <v>2025.0</v>
      </c>
      <c r="M87" s="35"/>
      <c r="N87" s="35"/>
      <c r="O87" s="35"/>
      <c r="P87" s="39">
        <f t="shared" si="249"/>
        <v>6</v>
      </c>
      <c r="Q87" s="35"/>
      <c r="R87" s="35"/>
      <c r="S87" s="35"/>
      <c r="T87" s="39">
        <f t="shared" si="236"/>
        <v>6</v>
      </c>
      <c r="U87" s="35"/>
      <c r="V87" s="35"/>
      <c r="W87" s="35"/>
      <c r="X87" s="39">
        <f t="shared" si="237"/>
        <v>6</v>
      </c>
      <c r="Y87" s="35"/>
      <c r="Z87" s="35"/>
      <c r="AA87" s="35"/>
      <c r="AB87" s="39">
        <f t="shared" si="238"/>
        <v>6</v>
      </c>
      <c r="AC87" s="35"/>
      <c r="AD87" s="35"/>
      <c r="AE87" s="35"/>
      <c r="AF87" s="39">
        <f t="shared" si="239"/>
        <v>6</v>
      </c>
      <c r="AG87" s="35"/>
      <c r="AH87" s="35"/>
      <c r="AI87" s="35"/>
      <c r="AJ87" s="39">
        <f t="shared" si="240"/>
        <v>6</v>
      </c>
      <c r="AK87" s="35"/>
      <c r="AL87" s="35"/>
      <c r="AM87" s="35"/>
      <c r="AN87" s="39">
        <f t="shared" si="241"/>
        <v>6</v>
      </c>
      <c r="AO87" s="35"/>
      <c r="AP87" s="35"/>
      <c r="AQ87" s="35"/>
      <c r="AR87" s="39">
        <f t="shared" si="242"/>
        <v>6</v>
      </c>
      <c r="AS87" s="35"/>
      <c r="AT87" s="35"/>
      <c r="AU87" s="35"/>
      <c r="AV87" s="39">
        <f t="shared" si="250"/>
        <v>6</v>
      </c>
      <c r="AW87" s="35"/>
      <c r="AX87" s="35"/>
      <c r="AY87" s="35"/>
      <c r="AZ87" s="39">
        <f t="shared" si="243"/>
        <v>6</v>
      </c>
      <c r="BA87" s="35"/>
      <c r="BB87" s="35"/>
      <c r="BC87" s="35"/>
      <c r="BD87" s="39">
        <f t="shared" si="244"/>
        <v>6</v>
      </c>
      <c r="BE87" s="35"/>
      <c r="BF87" s="35"/>
      <c r="BG87" s="35"/>
      <c r="BH87" s="39">
        <f t="shared" si="245"/>
        <v>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9"/>
      <c r="B88" s="35" t="s">
        <v>96</v>
      </c>
      <c r="C88" s="35">
        <v>56.0</v>
      </c>
      <c r="D88" s="35">
        <v>5690.0</v>
      </c>
      <c r="E88" s="35">
        <v>17.0</v>
      </c>
      <c r="F88" s="35">
        <f t="shared" si="246"/>
        <v>18</v>
      </c>
      <c r="G88" s="37">
        <f t="shared" si="247"/>
        <v>0.8888888889</v>
      </c>
      <c r="H88" s="38">
        <v>5.0</v>
      </c>
      <c r="I88" s="38">
        <f t="shared" si="251"/>
        <v>5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5</v>
      </c>
      <c r="Q88" s="35"/>
      <c r="R88" s="35"/>
      <c r="S88" s="35"/>
      <c r="T88" s="39">
        <f t="shared" si="236"/>
        <v>5</v>
      </c>
      <c r="U88" s="35"/>
      <c r="V88" s="35"/>
      <c r="W88" s="35"/>
      <c r="X88" s="39">
        <f t="shared" si="237"/>
        <v>5</v>
      </c>
      <c r="Y88" s="35"/>
      <c r="Z88" s="35"/>
      <c r="AA88" s="35"/>
      <c r="AB88" s="39">
        <f t="shared" si="238"/>
        <v>5</v>
      </c>
      <c r="AC88" s="35"/>
      <c r="AD88" s="35"/>
      <c r="AE88" s="35"/>
      <c r="AF88" s="39">
        <f t="shared" si="239"/>
        <v>5</v>
      </c>
      <c r="AG88" s="35"/>
      <c r="AH88" s="35"/>
      <c r="AI88" s="35"/>
      <c r="AJ88" s="39">
        <f t="shared" si="240"/>
        <v>5</v>
      </c>
      <c r="AK88" s="35"/>
      <c r="AL88" s="35">
        <v>11.0</v>
      </c>
      <c r="AM88" s="35"/>
      <c r="AN88" s="39">
        <f t="shared" si="241"/>
        <v>16</v>
      </c>
      <c r="AO88" s="35"/>
      <c r="AP88" s="35"/>
      <c r="AQ88" s="35"/>
      <c r="AR88" s="39">
        <f t="shared" si="242"/>
        <v>16</v>
      </c>
      <c r="AS88" s="35"/>
      <c r="AT88" s="35"/>
      <c r="AU88" s="35"/>
      <c r="AV88" s="39">
        <f t="shared" si="250"/>
        <v>16</v>
      </c>
      <c r="AW88" s="35"/>
      <c r="AX88" s="35"/>
      <c r="AY88" s="35"/>
      <c r="AZ88" s="39">
        <f t="shared" si="243"/>
        <v>16</v>
      </c>
      <c r="BA88" s="35"/>
      <c r="BB88" s="35"/>
      <c r="BC88" s="35"/>
      <c r="BD88" s="39">
        <f t="shared" si="244"/>
        <v>16</v>
      </c>
      <c r="BE88" s="35"/>
      <c r="BF88" s="35"/>
      <c r="BG88" s="35"/>
      <c r="BH88" s="39">
        <f t="shared" si="245"/>
        <v>16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9"/>
      <c r="B89" s="35" t="s">
        <v>97</v>
      </c>
      <c r="C89" s="35">
        <v>59.0</v>
      </c>
      <c r="D89" s="35">
        <v>4833.0</v>
      </c>
      <c r="E89" s="35">
        <v>37.0</v>
      </c>
      <c r="F89" s="35">
        <f t="shared" si="246"/>
        <v>38</v>
      </c>
      <c r="G89" s="37">
        <f t="shared" si="247"/>
        <v>0.7631578947</v>
      </c>
      <c r="H89" s="38">
        <v>29.0</v>
      </c>
      <c r="I89" s="38">
        <f t="shared" si="251"/>
        <v>29</v>
      </c>
      <c r="J89" s="39"/>
      <c r="K89" s="40">
        <v>2025.0</v>
      </c>
      <c r="L89" s="40">
        <v>2025.0</v>
      </c>
      <c r="M89" s="35"/>
      <c r="N89" s="35"/>
      <c r="O89" s="35"/>
      <c r="P89" s="39">
        <f t="shared" si="249"/>
        <v>29</v>
      </c>
      <c r="Q89" s="35"/>
      <c r="R89" s="35"/>
      <c r="S89" s="35"/>
      <c r="T89" s="39">
        <f t="shared" si="236"/>
        <v>29</v>
      </c>
      <c r="U89" s="35"/>
      <c r="V89" s="35"/>
      <c r="W89" s="35"/>
      <c r="X89" s="39">
        <f t="shared" si="237"/>
        <v>29</v>
      </c>
      <c r="Y89" s="35"/>
      <c r="Z89" s="35"/>
      <c r="AA89" s="35"/>
      <c r="AB89" s="39">
        <f t="shared" si="238"/>
        <v>29</v>
      </c>
      <c r="AC89" s="35"/>
      <c r="AD89" s="35"/>
      <c r="AE89" s="35"/>
      <c r="AF89" s="39">
        <f t="shared" si="239"/>
        <v>29</v>
      </c>
      <c r="AG89" s="35"/>
      <c r="AH89" s="35"/>
      <c r="AI89" s="35"/>
      <c r="AJ89" s="39">
        <f t="shared" si="240"/>
        <v>29</v>
      </c>
      <c r="AK89" s="35"/>
      <c r="AL89" s="35"/>
      <c r="AM89" s="35"/>
      <c r="AN89" s="39">
        <f t="shared" si="241"/>
        <v>29</v>
      </c>
      <c r="AO89" s="35"/>
      <c r="AP89" s="35"/>
      <c r="AQ89" s="35"/>
      <c r="AR89" s="39">
        <f t="shared" si="242"/>
        <v>29</v>
      </c>
      <c r="AS89" s="35"/>
      <c r="AT89" s="35"/>
      <c r="AU89" s="35"/>
      <c r="AV89" s="39">
        <f t="shared" si="250"/>
        <v>29</v>
      </c>
      <c r="AW89" s="35"/>
      <c r="AX89" s="35"/>
      <c r="AY89" s="35"/>
      <c r="AZ89" s="39">
        <f t="shared" si="243"/>
        <v>29</v>
      </c>
      <c r="BA89" s="35"/>
      <c r="BB89" s="35"/>
      <c r="BC89" s="35"/>
      <c r="BD89" s="39">
        <f t="shared" si="244"/>
        <v>29</v>
      </c>
      <c r="BE89" s="35"/>
      <c r="BF89" s="35"/>
      <c r="BG89" s="35"/>
      <c r="BH89" s="39">
        <f t="shared" si="245"/>
        <v>29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9"/>
      <c r="B90" s="35" t="s">
        <v>98</v>
      </c>
      <c r="C90" s="35">
        <v>66.0</v>
      </c>
      <c r="D90" s="35">
        <v>706.0</v>
      </c>
      <c r="E90" s="35">
        <v>28.0</v>
      </c>
      <c r="F90" s="35">
        <f t="shared" si="246"/>
        <v>29</v>
      </c>
      <c r="G90" s="37">
        <f t="shared" si="247"/>
        <v>0.9655172414</v>
      </c>
      <c r="H90" s="38">
        <v>12.0</v>
      </c>
      <c r="I90" s="38">
        <f t="shared" si="251"/>
        <v>12</v>
      </c>
      <c r="J90" s="39"/>
      <c r="K90" s="24">
        <v>2027.0</v>
      </c>
      <c r="L90" s="40">
        <v>2025.0</v>
      </c>
      <c r="M90" s="35"/>
      <c r="N90" s="35"/>
      <c r="O90" s="35"/>
      <c r="P90" s="39">
        <f t="shared" si="249"/>
        <v>12</v>
      </c>
      <c r="Q90" s="35"/>
      <c r="R90" s="35"/>
      <c r="S90" s="35"/>
      <c r="T90" s="39">
        <f t="shared" si="236"/>
        <v>12</v>
      </c>
      <c r="U90" s="35"/>
      <c r="V90" s="35"/>
      <c r="W90" s="35"/>
      <c r="X90" s="39">
        <f t="shared" si="237"/>
        <v>12</v>
      </c>
      <c r="Y90" s="35"/>
      <c r="Z90" s="35"/>
      <c r="AA90" s="35"/>
      <c r="AB90" s="39">
        <f t="shared" si="238"/>
        <v>12</v>
      </c>
      <c r="AC90" s="35"/>
      <c r="AD90" s="35"/>
      <c r="AE90" s="35"/>
      <c r="AF90" s="39">
        <f t="shared" si="239"/>
        <v>12</v>
      </c>
      <c r="AG90" s="35"/>
      <c r="AH90" s="35"/>
      <c r="AI90" s="35"/>
      <c r="AJ90" s="39">
        <f t="shared" si="240"/>
        <v>12</v>
      </c>
      <c r="AK90" s="35"/>
      <c r="AL90" s="35"/>
      <c r="AM90" s="35"/>
      <c r="AN90" s="39">
        <f t="shared" si="241"/>
        <v>12</v>
      </c>
      <c r="AO90" s="35"/>
      <c r="AP90" s="35"/>
      <c r="AQ90" s="35"/>
      <c r="AR90" s="39">
        <f t="shared" si="242"/>
        <v>12</v>
      </c>
      <c r="AS90" s="35"/>
      <c r="AT90" s="35"/>
      <c r="AU90" s="35"/>
      <c r="AV90" s="39">
        <f t="shared" si="250"/>
        <v>12</v>
      </c>
      <c r="AW90" s="35"/>
      <c r="AX90" s="35"/>
      <c r="AY90" s="35"/>
      <c r="AZ90" s="39">
        <f t="shared" si="243"/>
        <v>12</v>
      </c>
      <c r="BA90" s="35"/>
      <c r="BB90" s="35"/>
      <c r="BC90" s="35"/>
      <c r="BD90" s="39">
        <f t="shared" si="244"/>
        <v>12</v>
      </c>
      <c r="BE90" s="41">
        <v>2.0</v>
      </c>
      <c r="BF90" s="41">
        <v>14.0</v>
      </c>
      <c r="BG90" s="35"/>
      <c r="BH90" s="39">
        <f t="shared" si="245"/>
        <v>28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>
      <c r="A91" s="69"/>
      <c r="B91" s="35" t="s">
        <v>99</v>
      </c>
      <c r="C91" s="35">
        <v>76.0</v>
      </c>
      <c r="D91" s="35">
        <v>4252.0</v>
      </c>
      <c r="E91" s="35">
        <v>31.0</v>
      </c>
      <c r="F91" s="35">
        <f t="shared" si="246"/>
        <v>32</v>
      </c>
      <c r="G91" s="37">
        <f t="shared" si="247"/>
        <v>0.59375</v>
      </c>
      <c r="H91" s="38">
        <v>11.0</v>
      </c>
      <c r="I91" s="38">
        <f t="shared" si="251"/>
        <v>14</v>
      </c>
      <c r="J91" s="73">
        <v>3.0</v>
      </c>
      <c r="K91" s="40">
        <v>2027.0</v>
      </c>
      <c r="L91" s="40">
        <v>2026.0</v>
      </c>
      <c r="M91" s="35"/>
      <c r="N91" s="35"/>
      <c r="O91" s="35"/>
      <c r="P91" s="39">
        <f t="shared" si="249"/>
        <v>11</v>
      </c>
      <c r="Q91" s="35"/>
      <c r="R91" s="35"/>
      <c r="S91" s="35"/>
      <c r="T91" s="39">
        <f t="shared" si="236"/>
        <v>11</v>
      </c>
      <c r="U91" s="35"/>
      <c r="V91" s="35"/>
      <c r="W91" s="35"/>
      <c r="X91" s="39">
        <f t="shared" si="237"/>
        <v>11</v>
      </c>
      <c r="Y91" s="35">
        <v>1.0</v>
      </c>
      <c r="Z91" s="35">
        <v>7.0</v>
      </c>
      <c r="AA91" s="35"/>
      <c r="AB91" s="39">
        <f t="shared" si="238"/>
        <v>19</v>
      </c>
      <c r="AC91" s="35"/>
      <c r="AD91" s="35"/>
      <c r="AE91" s="35"/>
      <c r="AF91" s="39">
        <f t="shared" si="239"/>
        <v>19</v>
      </c>
      <c r="AG91" s="35"/>
      <c r="AH91" s="35"/>
      <c r="AI91" s="35"/>
      <c r="AJ91" s="39">
        <f t="shared" si="240"/>
        <v>19</v>
      </c>
      <c r="AK91" s="35"/>
      <c r="AL91" s="35"/>
      <c r="AM91" s="35"/>
      <c r="AN91" s="39">
        <f t="shared" si="241"/>
        <v>19</v>
      </c>
      <c r="AO91" s="35"/>
      <c r="AP91" s="35"/>
      <c r="AQ91" s="35"/>
      <c r="AR91" s="39">
        <f t="shared" si="242"/>
        <v>19</v>
      </c>
      <c r="AS91" s="35"/>
      <c r="AT91" s="35"/>
      <c r="AU91" s="35"/>
      <c r="AV91" s="39">
        <f t="shared" si="250"/>
        <v>19</v>
      </c>
      <c r="AW91" s="35"/>
      <c r="AX91" s="35"/>
      <c r="AY91" s="35"/>
      <c r="AZ91" s="39">
        <f t="shared" si="243"/>
        <v>19</v>
      </c>
      <c r="BA91" s="35"/>
      <c r="BB91" s="35"/>
      <c r="BC91" s="35"/>
      <c r="BD91" s="39">
        <f t="shared" si="244"/>
        <v>19</v>
      </c>
      <c r="BE91" s="35"/>
      <c r="BF91" s="35"/>
      <c r="BG91" s="35"/>
      <c r="BH91" s="39">
        <f t="shared" si="245"/>
        <v>19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69"/>
      <c r="B92" s="35" t="s">
        <v>100</v>
      </c>
      <c r="C92" s="35">
        <v>98.0</v>
      </c>
      <c r="D92" s="35">
        <v>4407.0</v>
      </c>
      <c r="E92" s="35">
        <v>57.0</v>
      </c>
      <c r="F92" s="35">
        <f t="shared" si="246"/>
        <v>58</v>
      </c>
      <c r="G92" s="37">
        <f t="shared" si="247"/>
        <v>0.9137931034</v>
      </c>
      <c r="H92" s="38">
        <v>33.0</v>
      </c>
      <c r="I92" s="38">
        <f t="shared" si="251"/>
        <v>35</v>
      </c>
      <c r="J92" s="73">
        <v>2.0</v>
      </c>
      <c r="K92" s="24">
        <v>2027.0</v>
      </c>
      <c r="L92" s="40">
        <v>2026.0</v>
      </c>
      <c r="M92" s="35"/>
      <c r="N92" s="35"/>
      <c r="O92" s="35"/>
      <c r="P92" s="39">
        <f t="shared" si="249"/>
        <v>33</v>
      </c>
      <c r="Q92" s="35"/>
      <c r="R92" s="35"/>
      <c r="S92" s="35"/>
      <c r="T92" s="39">
        <f t="shared" si="236"/>
        <v>33</v>
      </c>
      <c r="U92" s="35">
        <v>2.0</v>
      </c>
      <c r="V92" s="35">
        <v>16.0</v>
      </c>
      <c r="W92" s="35"/>
      <c r="X92" s="39">
        <f t="shared" si="237"/>
        <v>51</v>
      </c>
      <c r="Y92" s="35">
        <v>2.0</v>
      </c>
      <c r="Z92" s="35"/>
      <c r="AA92" s="35"/>
      <c r="AB92" s="39">
        <f t="shared" si="238"/>
        <v>53</v>
      </c>
      <c r="AC92" s="35"/>
      <c r="AD92" s="35"/>
      <c r="AE92" s="35"/>
      <c r="AF92" s="39">
        <f t="shared" si="239"/>
        <v>53</v>
      </c>
      <c r="AG92" s="35"/>
      <c r="AH92" s="35"/>
      <c r="AI92" s="35"/>
      <c r="AJ92" s="39">
        <f t="shared" si="240"/>
        <v>53</v>
      </c>
      <c r="AK92" s="35"/>
      <c r="AL92" s="35"/>
      <c r="AM92" s="35"/>
      <c r="AN92" s="39">
        <f t="shared" si="241"/>
        <v>53</v>
      </c>
      <c r="AO92" s="35"/>
      <c r="AP92" s="35"/>
      <c r="AQ92" s="35"/>
      <c r="AR92" s="39">
        <f t="shared" si="242"/>
        <v>53</v>
      </c>
      <c r="AS92" s="35"/>
      <c r="AT92" s="35"/>
      <c r="AU92" s="35"/>
      <c r="AV92" s="39">
        <f t="shared" si="250"/>
        <v>53</v>
      </c>
      <c r="AW92" s="35"/>
      <c r="AX92" s="35"/>
      <c r="AY92" s="35"/>
      <c r="AZ92" s="39">
        <f t="shared" si="243"/>
        <v>53</v>
      </c>
      <c r="BA92" s="35"/>
      <c r="BB92" s="35"/>
      <c r="BC92" s="35"/>
      <c r="BD92" s="39">
        <f t="shared" si="244"/>
        <v>53</v>
      </c>
      <c r="BE92" s="35"/>
      <c r="BF92" s="35"/>
      <c r="BG92" s="35"/>
      <c r="BH92" s="39">
        <f t="shared" si="245"/>
        <v>53</v>
      </c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</row>
    <row r="93" ht="15.75" customHeight="1">
      <c r="A93" s="21"/>
      <c r="B93" s="21"/>
      <c r="C93" s="21"/>
      <c r="D93" s="21"/>
      <c r="E93" s="21"/>
      <c r="F93" s="21"/>
      <c r="G93" s="21"/>
      <c r="H93" s="25"/>
      <c r="I93" s="25"/>
      <c r="J93" s="25"/>
      <c r="K93" s="21"/>
      <c r="L93" s="21"/>
      <c r="M93" s="21">
        <f t="shared" ref="M93:P93" si="252">SUM(M74:M92)</f>
        <v>1</v>
      </c>
      <c r="N93" s="21">
        <f t="shared" si="252"/>
        <v>28</v>
      </c>
      <c r="O93" s="21">
        <f t="shared" si="252"/>
        <v>0</v>
      </c>
      <c r="P93" s="25">
        <f t="shared" si="252"/>
        <v>268</v>
      </c>
      <c r="Q93" s="21">
        <f t="shared" ref="Q93:S93" si="253">SUM(Q75:Q92)</f>
        <v>1</v>
      </c>
      <c r="R93" s="21">
        <f t="shared" si="253"/>
        <v>12</v>
      </c>
      <c r="S93" s="21">
        <f t="shared" si="253"/>
        <v>0</v>
      </c>
      <c r="T93" s="25">
        <f>SUM(T74:T92)</f>
        <v>281</v>
      </c>
      <c r="U93" s="21">
        <f t="shared" ref="U93:W93" si="254">SUM(U75:U92)</f>
        <v>6</v>
      </c>
      <c r="V93" s="21">
        <f t="shared" si="254"/>
        <v>16</v>
      </c>
      <c r="W93" s="21">
        <f t="shared" si="254"/>
        <v>4</v>
      </c>
      <c r="X93" s="25">
        <f>SUM(X74:X92)</f>
        <v>307</v>
      </c>
      <c r="Y93" s="21">
        <f t="shared" ref="Y93:AA93" si="255">SUM(Y75:Y92)</f>
        <v>3</v>
      </c>
      <c r="Z93" s="21">
        <f t="shared" si="255"/>
        <v>7</v>
      </c>
      <c r="AA93" s="21">
        <f t="shared" si="255"/>
        <v>0</v>
      </c>
      <c r="AB93" s="25">
        <f>SUM(AB74:AB92)</f>
        <v>317</v>
      </c>
      <c r="AC93" s="21">
        <f t="shared" ref="AC93:AE93" si="256">SUM(AC75:AC92)</f>
        <v>0</v>
      </c>
      <c r="AD93" s="21">
        <f t="shared" si="256"/>
        <v>0</v>
      </c>
      <c r="AE93" s="21">
        <f t="shared" si="256"/>
        <v>0</v>
      </c>
      <c r="AF93" s="25">
        <f>SUM(AF74:AF92)</f>
        <v>317</v>
      </c>
      <c r="AG93" s="21">
        <f t="shared" ref="AG93:AI93" si="257">SUM(AG75:AG92)</f>
        <v>0</v>
      </c>
      <c r="AH93" s="21">
        <f t="shared" si="257"/>
        <v>0</v>
      </c>
      <c r="AI93" s="21">
        <f t="shared" si="257"/>
        <v>0</v>
      </c>
      <c r="AJ93" s="25">
        <f>SUM(AJ74:AJ92)</f>
        <v>317</v>
      </c>
      <c r="AK93" s="21">
        <f t="shared" ref="AK93:AM93" si="258">SUM(AK75:AK92)</f>
        <v>3</v>
      </c>
      <c r="AL93" s="21">
        <f t="shared" si="258"/>
        <v>13</v>
      </c>
      <c r="AM93" s="21">
        <f t="shared" si="258"/>
        <v>0</v>
      </c>
      <c r="AN93" s="25">
        <f>SUM(AN74:AN92)</f>
        <v>333</v>
      </c>
      <c r="AO93" s="21">
        <f t="shared" ref="AO93:AQ93" si="259">SUM(AO75:AO92)</f>
        <v>0</v>
      </c>
      <c r="AP93" s="21">
        <f t="shared" si="259"/>
        <v>0</v>
      </c>
      <c r="AQ93" s="21">
        <f t="shared" si="259"/>
        <v>0</v>
      </c>
      <c r="AR93" s="25">
        <f>SUM(AR74:AR92)</f>
        <v>333</v>
      </c>
      <c r="AS93" s="21">
        <f t="shared" ref="AS93:AU93" si="260">SUM(AS75:AS92)</f>
        <v>5</v>
      </c>
      <c r="AT93" s="21">
        <f t="shared" si="260"/>
        <v>0</v>
      </c>
      <c r="AU93" s="21">
        <f t="shared" si="260"/>
        <v>0</v>
      </c>
      <c r="AV93" s="21">
        <f>SUM(AV74:AV92)</f>
        <v>338</v>
      </c>
      <c r="AW93" s="21">
        <f t="shared" ref="AW93:AY93" si="261">SUM(AW75:AW92)</f>
        <v>6</v>
      </c>
      <c r="AX93" s="21">
        <f t="shared" si="261"/>
        <v>13</v>
      </c>
      <c r="AY93" s="21">
        <f t="shared" si="261"/>
        <v>1</v>
      </c>
      <c r="AZ93" s="21">
        <f>SUM(AZ74:AZ92)</f>
        <v>358</v>
      </c>
      <c r="BA93" s="21">
        <f t="shared" ref="BA93:BC93" si="262">SUM(BA75:BA92)</f>
        <v>0</v>
      </c>
      <c r="BB93" s="21">
        <f t="shared" si="262"/>
        <v>0</v>
      </c>
      <c r="BC93" s="21">
        <f t="shared" si="262"/>
        <v>0</v>
      </c>
      <c r="BD93" s="21">
        <f>SUM(BD74:BD92)</f>
        <v>358</v>
      </c>
      <c r="BE93" s="21">
        <f t="shared" ref="BE93:BG93" si="263">SUM(BE75:BE92)</f>
        <v>2</v>
      </c>
      <c r="BF93" s="21">
        <f t="shared" si="263"/>
        <v>15</v>
      </c>
      <c r="BG93" s="21">
        <f t="shared" si="263"/>
        <v>0</v>
      </c>
      <c r="BH93" s="21">
        <f>SUM(BH74:BH92)</f>
        <v>375</v>
      </c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  <row r="94" ht="15.75" customHeight="1">
      <c r="A94" s="21"/>
      <c r="B94" s="21" t="s">
        <v>35</v>
      </c>
      <c r="C94" s="21">
        <f>COUNT(C75:C92)</f>
        <v>18</v>
      </c>
      <c r="D94" s="21"/>
      <c r="E94" s="21">
        <f>SUM(E74:E92)</f>
        <v>454</v>
      </c>
      <c r="F94" s="21">
        <f>SUM(E74:E92)+1</f>
        <v>455</v>
      </c>
      <c r="G94" s="22">
        <f>$BH93/F94</f>
        <v>0.8241758242</v>
      </c>
      <c r="H94" s="25">
        <f t="shared" ref="H94:J94" si="264">SUM(H74:H92)</f>
        <v>239</v>
      </c>
      <c r="I94" s="25">
        <f t="shared" si="264"/>
        <v>250</v>
      </c>
      <c r="J94" s="25">
        <f t="shared" si="264"/>
        <v>11</v>
      </c>
      <c r="K94" s="21"/>
      <c r="L94" s="21"/>
      <c r="M94" s="21"/>
      <c r="N94" s="21"/>
      <c r="O94" s="21"/>
      <c r="P94" s="22">
        <f>P93/F94</f>
        <v>0.589010989</v>
      </c>
      <c r="Q94" s="21">
        <f t="shared" ref="Q94:S94" si="265">M93+Q93</f>
        <v>2</v>
      </c>
      <c r="R94" s="21">
        <f t="shared" si="265"/>
        <v>40</v>
      </c>
      <c r="S94" s="21">
        <f t="shared" si="265"/>
        <v>0</v>
      </c>
      <c r="T94" s="22">
        <f>T93/F94</f>
        <v>0.6175824176</v>
      </c>
      <c r="U94" s="21">
        <f t="shared" ref="U94:W94" si="266">Q94+U93</f>
        <v>8</v>
      </c>
      <c r="V94" s="21">
        <f t="shared" si="266"/>
        <v>56</v>
      </c>
      <c r="W94" s="21">
        <f t="shared" si="266"/>
        <v>4</v>
      </c>
      <c r="X94" s="22">
        <f>X93/F94</f>
        <v>0.6747252747</v>
      </c>
      <c r="Y94" s="21">
        <f t="shared" ref="Y94:AA94" si="267">U94+Y93</f>
        <v>11</v>
      </c>
      <c r="Z94" s="21">
        <f t="shared" si="267"/>
        <v>63</v>
      </c>
      <c r="AA94" s="21">
        <f t="shared" si="267"/>
        <v>4</v>
      </c>
      <c r="AB94" s="22">
        <f>AB93/F94</f>
        <v>0.6967032967</v>
      </c>
      <c r="AC94" s="21">
        <f t="shared" ref="AC94:AE94" si="268">Y94+AC93</f>
        <v>11</v>
      </c>
      <c r="AD94" s="21">
        <f t="shared" si="268"/>
        <v>63</v>
      </c>
      <c r="AE94" s="21">
        <f t="shared" si="268"/>
        <v>4</v>
      </c>
      <c r="AF94" s="22">
        <f>AF93/F94</f>
        <v>0.6967032967</v>
      </c>
      <c r="AG94" s="21">
        <f t="shared" ref="AG94:AI94" si="269">AC94+AG93</f>
        <v>11</v>
      </c>
      <c r="AH94" s="21">
        <f t="shared" si="269"/>
        <v>63</v>
      </c>
      <c r="AI94" s="21">
        <f t="shared" si="269"/>
        <v>4</v>
      </c>
      <c r="AJ94" s="22">
        <f>AJ93/F94</f>
        <v>0.6967032967</v>
      </c>
      <c r="AK94" s="21">
        <f t="shared" ref="AK94:AM94" si="270">AG94+AK93</f>
        <v>14</v>
      </c>
      <c r="AL94" s="21">
        <f t="shared" si="270"/>
        <v>76</v>
      </c>
      <c r="AM94" s="21">
        <f t="shared" si="270"/>
        <v>4</v>
      </c>
      <c r="AN94" s="22">
        <f>AN93/F94</f>
        <v>0.7318681319</v>
      </c>
      <c r="AO94" s="21">
        <f t="shared" ref="AO94:AQ94" si="271">AK94+AO93</f>
        <v>14</v>
      </c>
      <c r="AP94" s="21">
        <f t="shared" si="271"/>
        <v>76</v>
      </c>
      <c r="AQ94" s="21">
        <f t="shared" si="271"/>
        <v>4</v>
      </c>
      <c r="AR94" s="22">
        <f>AR93/F94</f>
        <v>0.7318681319</v>
      </c>
      <c r="AS94" s="21">
        <f t="shared" ref="AS94:AU94" si="272">AO94+AS93</f>
        <v>19</v>
      </c>
      <c r="AT94" s="21">
        <f t="shared" si="272"/>
        <v>76</v>
      </c>
      <c r="AU94" s="21">
        <f t="shared" si="272"/>
        <v>4</v>
      </c>
      <c r="AV94" s="22">
        <f>AV93/F94</f>
        <v>0.7428571429</v>
      </c>
      <c r="AW94" s="21">
        <f t="shared" ref="AW94:AY94" si="273">AS94+AW93</f>
        <v>25</v>
      </c>
      <c r="AX94" s="21">
        <f t="shared" si="273"/>
        <v>89</v>
      </c>
      <c r="AY94" s="21">
        <f t="shared" si="273"/>
        <v>5</v>
      </c>
      <c r="AZ94" s="22">
        <f>AZ93/F94</f>
        <v>0.7868131868</v>
      </c>
      <c r="BA94" s="21">
        <f t="shared" ref="BA94:BC94" si="274">AW94+BA93</f>
        <v>25</v>
      </c>
      <c r="BB94" s="21">
        <f t="shared" si="274"/>
        <v>89</v>
      </c>
      <c r="BC94" s="21">
        <f t="shared" si="274"/>
        <v>5</v>
      </c>
      <c r="BD94" s="22">
        <f>BD93/F94</f>
        <v>0.7868131868</v>
      </c>
      <c r="BE94" s="21">
        <f t="shared" ref="BE94:BG94" si="275">BA94+BE93</f>
        <v>27</v>
      </c>
      <c r="BF94" s="21">
        <f t="shared" si="275"/>
        <v>104</v>
      </c>
      <c r="BG94" s="21">
        <f t="shared" si="275"/>
        <v>5</v>
      </c>
      <c r="BH94" s="22">
        <f>BH93/F94</f>
        <v>0.8241758242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</row>
    <row r="95">
      <c r="J95" s="3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74" t="s">
        <v>101</v>
      </c>
      <c r="B96" s="75"/>
      <c r="C96" s="75"/>
      <c r="D96" s="75"/>
      <c r="E96" s="75"/>
      <c r="F96" s="75"/>
      <c r="G96" s="75"/>
      <c r="H96" s="76"/>
      <c r="I96" s="76"/>
      <c r="J96" s="76"/>
      <c r="K96" s="75">
        <v>2027.0</v>
      </c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</row>
    <row r="97">
      <c r="A97" s="77"/>
      <c r="B97" s="77" t="s">
        <v>102</v>
      </c>
      <c r="C97" s="77">
        <v>1.0</v>
      </c>
      <c r="D97" s="77">
        <v>9785.0</v>
      </c>
      <c r="E97" s="77">
        <v>36.0</v>
      </c>
      <c r="F97" s="77">
        <f t="shared" ref="F97:F100" si="276">E97+1</f>
        <v>37</v>
      </c>
      <c r="G97" s="78">
        <f t="shared" ref="G97:G101" si="277">$BH97/F97</f>
        <v>1</v>
      </c>
      <c r="H97" s="79">
        <v>24.0</v>
      </c>
      <c r="I97" s="79">
        <f t="shared" ref="I97:I100" si="278">+H97+J97</f>
        <v>24</v>
      </c>
      <c r="J97" s="77"/>
      <c r="K97" s="77">
        <v>2027.0</v>
      </c>
      <c r="L97" s="77">
        <v>2025.0</v>
      </c>
      <c r="M97" s="77">
        <v>3.0</v>
      </c>
      <c r="N97" s="77">
        <v>9.0</v>
      </c>
      <c r="O97" s="77"/>
      <c r="P97" s="79">
        <f t="shared" ref="P97:P98" si="279">+H97+M97+N97+O97</f>
        <v>36</v>
      </c>
      <c r="Q97" s="77"/>
      <c r="R97" s="77"/>
      <c r="S97" s="77"/>
      <c r="T97" s="79">
        <f t="shared" ref="T97:T101" si="280">SUM(P97:S97)</f>
        <v>36</v>
      </c>
      <c r="U97" s="77"/>
      <c r="V97" s="77"/>
      <c r="W97" s="77"/>
      <c r="X97" s="79">
        <f t="shared" ref="X97:X101" si="281">SUM(T97:W97)</f>
        <v>36</v>
      </c>
      <c r="Y97" s="77"/>
      <c r="Z97" s="77"/>
      <c r="AA97" s="77"/>
      <c r="AB97" s="79">
        <f t="shared" ref="AB97:AB101" si="282">SUM(X97:AA97)</f>
        <v>36</v>
      </c>
      <c r="AC97" s="77"/>
      <c r="AD97" s="77"/>
      <c r="AE97" s="77"/>
      <c r="AF97" s="79">
        <f t="shared" ref="AF97:AF101" si="283">SUM(AB97:AE97)</f>
        <v>36</v>
      </c>
      <c r="AG97" s="77"/>
      <c r="AH97" s="77"/>
      <c r="AI97" s="77"/>
      <c r="AJ97" s="79">
        <f t="shared" ref="AJ97:AJ101" si="284">SUM(AF97:AI97)</f>
        <v>36</v>
      </c>
      <c r="AK97" s="80">
        <v>1.0</v>
      </c>
      <c r="AL97" s="77"/>
      <c r="AM97" s="77"/>
      <c r="AN97" s="79">
        <f t="shared" ref="AN97:AN101" si="285">SUM(AJ97:AM97)</f>
        <v>37</v>
      </c>
      <c r="AO97" s="77"/>
      <c r="AP97" s="77"/>
      <c r="AQ97" s="77"/>
      <c r="AR97" s="79">
        <f t="shared" ref="AR97:AR101" si="286">SUM(AN97:AQ97)</f>
        <v>37</v>
      </c>
      <c r="AS97" s="77"/>
      <c r="AT97" s="77"/>
      <c r="AU97" s="77"/>
      <c r="AV97" s="79">
        <f t="shared" ref="AV97:AV101" si="287">SUM(AR97:AU97)</f>
        <v>37</v>
      </c>
      <c r="AW97" s="77"/>
      <c r="AX97" s="77"/>
      <c r="AY97" s="77"/>
      <c r="AZ97" s="79">
        <f t="shared" ref="AZ97:AZ101" si="288">SUM(AV97:AY97)</f>
        <v>37</v>
      </c>
      <c r="BA97" s="77"/>
      <c r="BB97" s="77"/>
      <c r="BC97" s="77"/>
      <c r="BD97" s="79">
        <f t="shared" ref="BD97:BD101" si="289">SUM(AZ97:BC97)</f>
        <v>37</v>
      </c>
      <c r="BE97" s="77"/>
      <c r="BF97" s="77">
        <v>0.0</v>
      </c>
      <c r="BG97" s="77"/>
      <c r="BH97" s="81">
        <f t="shared" ref="BH97:BH101" si="290">SUM(BD97:BG97)</f>
        <v>37</v>
      </c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</row>
    <row r="98">
      <c r="A98" s="77"/>
      <c r="B98" s="77" t="s">
        <v>103</v>
      </c>
      <c r="C98" s="77">
        <v>4.0</v>
      </c>
      <c r="D98" s="77">
        <v>9785.0</v>
      </c>
      <c r="E98" s="77">
        <v>23.0</v>
      </c>
      <c r="F98" s="77">
        <f t="shared" si="276"/>
        <v>24</v>
      </c>
      <c r="G98" s="78">
        <f t="shared" si="277"/>
        <v>1.25</v>
      </c>
      <c r="H98" s="79">
        <v>19.0</v>
      </c>
      <c r="I98" s="79">
        <f t="shared" si="278"/>
        <v>20</v>
      </c>
      <c r="J98" s="80">
        <v>1.0</v>
      </c>
      <c r="K98" s="77">
        <v>2027.0</v>
      </c>
      <c r="L98" s="77">
        <v>2025.0</v>
      </c>
      <c r="M98" s="77"/>
      <c r="N98" s="77"/>
      <c r="O98" s="77"/>
      <c r="P98" s="79">
        <f t="shared" si="279"/>
        <v>19</v>
      </c>
      <c r="Q98" s="77">
        <v>7.0</v>
      </c>
      <c r="R98" s="77">
        <v>4.0</v>
      </c>
      <c r="S98" s="77"/>
      <c r="T98" s="79">
        <f t="shared" si="280"/>
        <v>30</v>
      </c>
      <c r="U98" s="77"/>
      <c r="V98" s="77"/>
      <c r="W98" s="77"/>
      <c r="X98" s="79">
        <f t="shared" si="281"/>
        <v>30</v>
      </c>
      <c r="Y98" s="77"/>
      <c r="Z98" s="77"/>
      <c r="AA98" s="77"/>
      <c r="AB98" s="79">
        <f t="shared" si="282"/>
        <v>30</v>
      </c>
      <c r="AC98" s="77"/>
      <c r="AD98" s="77"/>
      <c r="AE98" s="77"/>
      <c r="AF98" s="79">
        <f t="shared" si="283"/>
        <v>30</v>
      </c>
      <c r="AG98" s="77"/>
      <c r="AH98" s="77"/>
      <c r="AI98" s="77"/>
      <c r="AJ98" s="79">
        <f t="shared" si="284"/>
        <v>30</v>
      </c>
      <c r="AK98" s="77"/>
      <c r="AL98" s="77"/>
      <c r="AM98" s="77"/>
      <c r="AN98" s="79">
        <f t="shared" si="285"/>
        <v>30</v>
      </c>
      <c r="AO98" s="77"/>
      <c r="AP98" s="77"/>
      <c r="AQ98" s="77"/>
      <c r="AR98" s="79">
        <f t="shared" si="286"/>
        <v>30</v>
      </c>
      <c r="AS98" s="77"/>
      <c r="AT98" s="77"/>
      <c r="AU98" s="77"/>
      <c r="AV98" s="79">
        <f t="shared" si="287"/>
        <v>30</v>
      </c>
      <c r="AW98" s="77"/>
      <c r="AX98" s="77"/>
      <c r="AY98" s="77"/>
      <c r="AZ98" s="79">
        <f t="shared" si="288"/>
        <v>30</v>
      </c>
      <c r="BA98" s="77"/>
      <c r="BB98" s="77"/>
      <c r="BC98" s="77"/>
      <c r="BD98" s="79">
        <f t="shared" si="289"/>
        <v>30</v>
      </c>
      <c r="BE98" s="77"/>
      <c r="BF98" s="77">
        <v>0.0</v>
      </c>
      <c r="BG98" s="77"/>
      <c r="BH98" s="81">
        <f t="shared" si="290"/>
        <v>30</v>
      </c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</row>
    <row r="99">
      <c r="A99" s="77"/>
      <c r="B99" s="77" t="s">
        <v>104</v>
      </c>
      <c r="C99" s="77">
        <v>5.0</v>
      </c>
      <c r="D99" s="77">
        <v>10046.0</v>
      </c>
      <c r="E99" s="77">
        <v>40.0</v>
      </c>
      <c r="F99" s="77">
        <f t="shared" si="276"/>
        <v>41</v>
      </c>
      <c r="G99" s="78">
        <f t="shared" si="277"/>
        <v>1.024390244</v>
      </c>
      <c r="H99" s="79">
        <v>20.0</v>
      </c>
      <c r="I99" s="79">
        <f t="shared" si="278"/>
        <v>21</v>
      </c>
      <c r="J99" s="80">
        <v>1.0</v>
      </c>
      <c r="K99" s="77">
        <v>2027.0</v>
      </c>
      <c r="L99" s="77">
        <v>2025.0</v>
      </c>
      <c r="M99" s="77"/>
      <c r="N99" s="77"/>
      <c r="O99" s="77"/>
      <c r="P99" s="79">
        <f>+I99+M99+N99+O99</f>
        <v>21</v>
      </c>
      <c r="Q99" s="77"/>
      <c r="R99" s="77"/>
      <c r="S99" s="77"/>
      <c r="T99" s="79">
        <f t="shared" si="280"/>
        <v>21</v>
      </c>
      <c r="U99" s="77"/>
      <c r="V99" s="77"/>
      <c r="W99" s="77"/>
      <c r="X99" s="79">
        <f t="shared" si="281"/>
        <v>21</v>
      </c>
      <c r="Y99" s="77"/>
      <c r="Z99" s="77"/>
      <c r="AA99" s="77"/>
      <c r="AB99" s="79">
        <f t="shared" si="282"/>
        <v>21</v>
      </c>
      <c r="AC99" s="77"/>
      <c r="AD99" s="77"/>
      <c r="AE99" s="77"/>
      <c r="AF99" s="79">
        <f t="shared" si="283"/>
        <v>21</v>
      </c>
      <c r="AG99" s="77"/>
      <c r="AH99" s="77"/>
      <c r="AI99" s="77"/>
      <c r="AJ99" s="79">
        <f t="shared" si="284"/>
        <v>21</v>
      </c>
      <c r="AK99" s="77">
        <v>1.0</v>
      </c>
      <c r="AL99" s="77">
        <v>20.0</v>
      </c>
      <c r="AM99" s="77"/>
      <c r="AN99" s="79">
        <f t="shared" si="285"/>
        <v>42</v>
      </c>
      <c r="AO99" s="77"/>
      <c r="AP99" s="77"/>
      <c r="AQ99" s="77"/>
      <c r="AR99" s="79">
        <f t="shared" si="286"/>
        <v>42</v>
      </c>
      <c r="AS99" s="77"/>
      <c r="AT99" s="77"/>
      <c r="AU99" s="77"/>
      <c r="AV99" s="79">
        <f t="shared" si="287"/>
        <v>42</v>
      </c>
      <c r="AW99" s="77"/>
      <c r="AX99" s="77"/>
      <c r="AY99" s="77"/>
      <c r="AZ99" s="79">
        <f t="shared" si="288"/>
        <v>42</v>
      </c>
      <c r="BA99" s="77"/>
      <c r="BB99" s="77"/>
      <c r="BC99" s="77"/>
      <c r="BD99" s="79">
        <f t="shared" si="289"/>
        <v>42</v>
      </c>
      <c r="BE99" s="77"/>
      <c r="BF99" s="77">
        <v>0.0</v>
      </c>
      <c r="BG99" s="77"/>
      <c r="BH99" s="81">
        <f t="shared" si="290"/>
        <v>42</v>
      </c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</row>
    <row r="100">
      <c r="A100" s="77"/>
      <c r="B100" s="77" t="s">
        <v>105</v>
      </c>
      <c r="C100" s="77">
        <v>66.0</v>
      </c>
      <c r="D100" s="77">
        <v>10046.0</v>
      </c>
      <c r="E100" s="77">
        <v>43.0</v>
      </c>
      <c r="F100" s="77">
        <f t="shared" si="276"/>
        <v>44</v>
      </c>
      <c r="G100" s="78">
        <f t="shared" si="277"/>
        <v>1.022727273</v>
      </c>
      <c r="H100" s="79">
        <v>26.0</v>
      </c>
      <c r="I100" s="79">
        <f t="shared" si="278"/>
        <v>27</v>
      </c>
      <c r="J100" s="80">
        <v>1.0</v>
      </c>
      <c r="K100" s="77">
        <v>2027.0</v>
      </c>
      <c r="L100" s="77">
        <v>2025.0</v>
      </c>
      <c r="M100" s="77">
        <v>1.0</v>
      </c>
      <c r="N100" s="77">
        <v>16.0</v>
      </c>
      <c r="O100" s="77"/>
      <c r="P100" s="79">
        <f t="shared" ref="P100:P101" si="291">+H100+M100+N100+O100</f>
        <v>43</v>
      </c>
      <c r="Q100" s="77"/>
      <c r="R100" s="77"/>
      <c r="S100" s="77"/>
      <c r="T100" s="79">
        <f t="shared" si="280"/>
        <v>43</v>
      </c>
      <c r="U100" s="77"/>
      <c r="V100" s="77"/>
      <c r="W100" s="77"/>
      <c r="X100" s="79">
        <f t="shared" si="281"/>
        <v>43</v>
      </c>
      <c r="Y100" s="77"/>
      <c r="Z100" s="77"/>
      <c r="AA100" s="77"/>
      <c r="AB100" s="79">
        <f t="shared" si="282"/>
        <v>43</v>
      </c>
      <c r="AC100" s="77"/>
      <c r="AD100" s="77"/>
      <c r="AE100" s="77"/>
      <c r="AF100" s="79">
        <f t="shared" si="283"/>
        <v>43</v>
      </c>
      <c r="AG100" s="77">
        <v>1.0</v>
      </c>
      <c r="AH100" s="77"/>
      <c r="AI100" s="77"/>
      <c r="AJ100" s="79">
        <f t="shared" si="284"/>
        <v>44</v>
      </c>
      <c r="AK100" s="77"/>
      <c r="AL100" s="77"/>
      <c r="AM100" s="77"/>
      <c r="AN100" s="79">
        <f t="shared" si="285"/>
        <v>44</v>
      </c>
      <c r="AO100" s="77"/>
      <c r="AP100" s="77"/>
      <c r="AQ100" s="77"/>
      <c r="AR100" s="79">
        <f t="shared" si="286"/>
        <v>44</v>
      </c>
      <c r="AS100" s="77"/>
      <c r="AT100" s="77"/>
      <c r="AU100" s="77"/>
      <c r="AV100" s="79">
        <f t="shared" si="287"/>
        <v>44</v>
      </c>
      <c r="AW100" s="80">
        <v>1.0</v>
      </c>
      <c r="AX100" s="77"/>
      <c r="AY100" s="77"/>
      <c r="AZ100" s="79">
        <f t="shared" si="288"/>
        <v>45</v>
      </c>
      <c r="BA100" s="77"/>
      <c r="BB100" s="77"/>
      <c r="BC100" s="77"/>
      <c r="BD100" s="79">
        <f t="shared" si="289"/>
        <v>45</v>
      </c>
      <c r="BE100" s="77">
        <v>0.0</v>
      </c>
      <c r="BF100" s="77"/>
      <c r="BG100" s="77"/>
      <c r="BH100" s="81">
        <f t="shared" si="290"/>
        <v>45</v>
      </c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</row>
    <row r="101">
      <c r="A101" s="83" t="s">
        <v>106</v>
      </c>
      <c r="B101" s="83" t="s">
        <v>107</v>
      </c>
      <c r="C101" s="83">
        <v>22.0</v>
      </c>
      <c r="D101" s="83">
        <v>4346.0</v>
      </c>
      <c r="E101" s="83">
        <v>0.0</v>
      </c>
      <c r="F101" s="83">
        <v>16.0</v>
      </c>
      <c r="G101" s="78">
        <f t="shared" si="277"/>
        <v>0</v>
      </c>
      <c r="H101" s="84"/>
      <c r="I101" s="85"/>
      <c r="J101" s="80">
        <v>1.0</v>
      </c>
      <c r="K101" s="77"/>
      <c r="L101" s="77"/>
      <c r="M101" s="77"/>
      <c r="N101" s="77"/>
      <c r="O101" s="77"/>
      <c r="P101" s="79">
        <f t="shared" si="291"/>
        <v>0</v>
      </c>
      <c r="Q101" s="77"/>
      <c r="R101" s="77"/>
      <c r="S101" s="77"/>
      <c r="T101" s="79">
        <f t="shared" si="280"/>
        <v>0</v>
      </c>
      <c r="U101" s="77"/>
      <c r="V101" s="77"/>
      <c r="W101" s="77"/>
      <c r="X101" s="79">
        <f t="shared" si="281"/>
        <v>0</v>
      </c>
      <c r="Y101" s="77"/>
      <c r="Z101" s="77"/>
      <c r="AA101" s="77"/>
      <c r="AB101" s="79">
        <f t="shared" si="282"/>
        <v>0</v>
      </c>
      <c r="AC101" s="77"/>
      <c r="AD101" s="77"/>
      <c r="AE101" s="77"/>
      <c r="AF101" s="79">
        <f t="shared" si="283"/>
        <v>0</v>
      </c>
      <c r="AG101" s="77"/>
      <c r="AH101" s="77"/>
      <c r="AI101" s="77"/>
      <c r="AJ101" s="79">
        <f t="shared" si="284"/>
        <v>0</v>
      </c>
      <c r="AK101" s="77"/>
      <c r="AL101" s="77"/>
      <c r="AM101" s="77"/>
      <c r="AN101" s="79">
        <f t="shared" si="285"/>
        <v>0</v>
      </c>
      <c r="AO101" s="77"/>
      <c r="AP101" s="77"/>
      <c r="AQ101" s="77"/>
      <c r="AR101" s="79">
        <f t="shared" si="286"/>
        <v>0</v>
      </c>
      <c r="AS101" s="77"/>
      <c r="AT101" s="77"/>
      <c r="AU101" s="77"/>
      <c r="AV101" s="79">
        <f t="shared" si="287"/>
        <v>0</v>
      </c>
      <c r="AW101" s="80"/>
      <c r="AX101" s="77"/>
      <c r="AY101" s="77"/>
      <c r="AZ101" s="79">
        <f t="shared" si="288"/>
        <v>0</v>
      </c>
      <c r="BA101" s="77"/>
      <c r="BB101" s="77"/>
      <c r="BC101" s="77"/>
      <c r="BD101" s="79">
        <f t="shared" si="289"/>
        <v>0</v>
      </c>
      <c r="BE101" s="77"/>
      <c r="BF101" s="77"/>
      <c r="BG101" s="77"/>
      <c r="BH101" s="81">
        <f t="shared" si="290"/>
        <v>0</v>
      </c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</row>
    <row r="102" ht="15.75" customHeight="1">
      <c r="A102" s="21"/>
      <c r="B102" s="21"/>
      <c r="C102" s="21"/>
      <c r="D102" s="21"/>
      <c r="E102" s="21"/>
      <c r="F102" s="21"/>
      <c r="G102" s="21"/>
      <c r="H102" s="25"/>
      <c r="I102" s="25"/>
      <c r="J102" s="25"/>
      <c r="K102" s="21"/>
      <c r="L102" s="21"/>
      <c r="M102" s="21">
        <f t="shared" ref="M102:BH102" si="292">SUM(M97:M101)</f>
        <v>4</v>
      </c>
      <c r="N102" s="21">
        <f t="shared" si="292"/>
        <v>25</v>
      </c>
      <c r="O102" s="21">
        <f t="shared" si="292"/>
        <v>0</v>
      </c>
      <c r="P102" s="25">
        <f t="shared" si="292"/>
        <v>119</v>
      </c>
      <c r="Q102" s="21">
        <f t="shared" si="292"/>
        <v>7</v>
      </c>
      <c r="R102" s="21">
        <f t="shared" si="292"/>
        <v>4</v>
      </c>
      <c r="S102" s="21">
        <f t="shared" si="292"/>
        <v>0</v>
      </c>
      <c r="T102" s="25">
        <f t="shared" si="292"/>
        <v>130</v>
      </c>
      <c r="U102" s="21">
        <f t="shared" si="292"/>
        <v>0</v>
      </c>
      <c r="V102" s="21">
        <f t="shared" si="292"/>
        <v>0</v>
      </c>
      <c r="W102" s="21">
        <f t="shared" si="292"/>
        <v>0</v>
      </c>
      <c r="X102" s="25">
        <f t="shared" si="292"/>
        <v>130</v>
      </c>
      <c r="Y102" s="21">
        <f t="shared" si="292"/>
        <v>0</v>
      </c>
      <c r="Z102" s="21">
        <f t="shared" si="292"/>
        <v>0</v>
      </c>
      <c r="AA102" s="21">
        <f t="shared" si="292"/>
        <v>0</v>
      </c>
      <c r="AB102" s="25">
        <f t="shared" si="292"/>
        <v>130</v>
      </c>
      <c r="AC102" s="21">
        <f t="shared" si="292"/>
        <v>0</v>
      </c>
      <c r="AD102" s="21">
        <f t="shared" si="292"/>
        <v>0</v>
      </c>
      <c r="AE102" s="21">
        <f t="shared" si="292"/>
        <v>0</v>
      </c>
      <c r="AF102" s="25">
        <f t="shared" si="292"/>
        <v>130</v>
      </c>
      <c r="AG102" s="21">
        <f t="shared" si="292"/>
        <v>1</v>
      </c>
      <c r="AH102" s="21">
        <f t="shared" si="292"/>
        <v>0</v>
      </c>
      <c r="AI102" s="21">
        <f t="shared" si="292"/>
        <v>0</v>
      </c>
      <c r="AJ102" s="25">
        <f t="shared" si="292"/>
        <v>131</v>
      </c>
      <c r="AK102" s="21">
        <f t="shared" si="292"/>
        <v>2</v>
      </c>
      <c r="AL102" s="21">
        <f t="shared" si="292"/>
        <v>20</v>
      </c>
      <c r="AM102" s="21">
        <f t="shared" si="292"/>
        <v>0</v>
      </c>
      <c r="AN102" s="25">
        <f t="shared" si="292"/>
        <v>153</v>
      </c>
      <c r="AO102" s="21">
        <f t="shared" si="292"/>
        <v>0</v>
      </c>
      <c r="AP102" s="21">
        <f t="shared" si="292"/>
        <v>0</v>
      </c>
      <c r="AQ102" s="21">
        <f t="shared" si="292"/>
        <v>0</v>
      </c>
      <c r="AR102" s="25">
        <f t="shared" si="292"/>
        <v>153</v>
      </c>
      <c r="AS102" s="21">
        <f t="shared" si="292"/>
        <v>0</v>
      </c>
      <c r="AT102" s="21">
        <f t="shared" si="292"/>
        <v>0</v>
      </c>
      <c r="AU102" s="21">
        <f t="shared" si="292"/>
        <v>0</v>
      </c>
      <c r="AV102" s="25">
        <f t="shared" si="292"/>
        <v>153</v>
      </c>
      <c r="AW102" s="21">
        <f t="shared" si="292"/>
        <v>1</v>
      </c>
      <c r="AX102" s="21">
        <f t="shared" si="292"/>
        <v>0</v>
      </c>
      <c r="AY102" s="21">
        <f t="shared" si="292"/>
        <v>0</v>
      </c>
      <c r="AZ102" s="25">
        <f t="shared" si="292"/>
        <v>154</v>
      </c>
      <c r="BA102" s="21">
        <f t="shared" si="292"/>
        <v>0</v>
      </c>
      <c r="BB102" s="21">
        <f t="shared" si="292"/>
        <v>0</v>
      </c>
      <c r="BC102" s="21">
        <f t="shared" si="292"/>
        <v>0</v>
      </c>
      <c r="BD102" s="25">
        <f t="shared" si="292"/>
        <v>154</v>
      </c>
      <c r="BE102" s="21">
        <f t="shared" si="292"/>
        <v>0</v>
      </c>
      <c r="BF102" s="21">
        <f t="shared" si="292"/>
        <v>0</v>
      </c>
      <c r="BG102" s="21">
        <f t="shared" si="292"/>
        <v>0</v>
      </c>
      <c r="BH102" s="25">
        <f t="shared" si="292"/>
        <v>154</v>
      </c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</row>
    <row r="103" ht="15.75" customHeight="1">
      <c r="A103" s="21"/>
      <c r="B103" s="21" t="s">
        <v>35</v>
      </c>
      <c r="C103" s="21">
        <f>COUNT(C97:C101)</f>
        <v>5</v>
      </c>
      <c r="D103" s="21"/>
      <c r="E103" s="21">
        <f>SUM(E97:E101)</f>
        <v>142</v>
      </c>
      <c r="F103" s="21">
        <f>SUM(E97:E101)+1</f>
        <v>143</v>
      </c>
      <c r="G103" s="22">
        <f>$BH102/F103</f>
        <v>1.076923077</v>
      </c>
      <c r="H103" s="25">
        <f t="shared" ref="H103:J103" si="293">SUM(H97:H101)</f>
        <v>89</v>
      </c>
      <c r="I103" s="25">
        <f t="shared" si="293"/>
        <v>92</v>
      </c>
      <c r="J103" s="25">
        <f t="shared" si="293"/>
        <v>4</v>
      </c>
      <c r="K103" s="21"/>
      <c r="L103" s="21"/>
      <c r="M103" s="21"/>
      <c r="N103" s="21"/>
      <c r="O103" s="21"/>
      <c r="P103" s="22">
        <f>P102/F103</f>
        <v>0.8321678322</v>
      </c>
      <c r="Q103" s="21">
        <f t="shared" ref="Q103:S103" si="294">M102+Q102</f>
        <v>11</v>
      </c>
      <c r="R103" s="21">
        <f t="shared" si="294"/>
        <v>29</v>
      </c>
      <c r="S103" s="21">
        <f t="shared" si="294"/>
        <v>0</v>
      </c>
      <c r="T103" s="22">
        <f>T102/F103</f>
        <v>0.9090909091</v>
      </c>
      <c r="U103" s="21">
        <f t="shared" ref="U103:W103" si="295">Q103+U102</f>
        <v>11</v>
      </c>
      <c r="V103" s="21">
        <f t="shared" si="295"/>
        <v>29</v>
      </c>
      <c r="W103" s="21">
        <f t="shared" si="295"/>
        <v>0</v>
      </c>
      <c r="X103" s="22">
        <f>X102/F103</f>
        <v>0.9090909091</v>
      </c>
      <c r="Y103" s="21">
        <f t="shared" ref="Y103:AA103" si="296">U103+Y102</f>
        <v>11</v>
      </c>
      <c r="Z103" s="21">
        <f t="shared" si="296"/>
        <v>29</v>
      </c>
      <c r="AA103" s="21">
        <f t="shared" si="296"/>
        <v>0</v>
      </c>
      <c r="AB103" s="22">
        <f>AB102/F103</f>
        <v>0.9090909091</v>
      </c>
      <c r="AC103" s="21">
        <f t="shared" ref="AC103:AE103" si="297">Y103+AC102</f>
        <v>11</v>
      </c>
      <c r="AD103" s="21">
        <f t="shared" si="297"/>
        <v>29</v>
      </c>
      <c r="AE103" s="21">
        <f t="shared" si="297"/>
        <v>0</v>
      </c>
      <c r="AF103" s="22">
        <f>AF102/F103</f>
        <v>0.9090909091</v>
      </c>
      <c r="AG103" s="21">
        <f t="shared" ref="AG103:AI103" si="298">AC103+AG102</f>
        <v>12</v>
      </c>
      <c r="AH103" s="21">
        <f t="shared" si="298"/>
        <v>29</v>
      </c>
      <c r="AI103" s="21">
        <f t="shared" si="298"/>
        <v>0</v>
      </c>
      <c r="AJ103" s="22">
        <f>AJ102/F103</f>
        <v>0.9160839161</v>
      </c>
      <c r="AK103" s="21">
        <f t="shared" ref="AK103:AM103" si="299">AG103+AK102</f>
        <v>14</v>
      </c>
      <c r="AL103" s="21">
        <f t="shared" si="299"/>
        <v>49</v>
      </c>
      <c r="AM103" s="21">
        <f t="shared" si="299"/>
        <v>0</v>
      </c>
      <c r="AN103" s="22">
        <f>AN102/F103</f>
        <v>1.06993007</v>
      </c>
      <c r="AO103" s="21">
        <f t="shared" ref="AO103:AQ103" si="300">AK103+AO102</f>
        <v>14</v>
      </c>
      <c r="AP103" s="21">
        <f t="shared" si="300"/>
        <v>49</v>
      </c>
      <c r="AQ103" s="21">
        <f t="shared" si="300"/>
        <v>0</v>
      </c>
      <c r="AR103" s="22">
        <f>AR102/F103</f>
        <v>1.06993007</v>
      </c>
      <c r="AS103" s="21">
        <f t="shared" ref="AS103:AU103" si="301">AO103+AS102</f>
        <v>14</v>
      </c>
      <c r="AT103" s="21">
        <f t="shared" si="301"/>
        <v>49</v>
      </c>
      <c r="AU103" s="21">
        <f t="shared" si="301"/>
        <v>0</v>
      </c>
      <c r="AV103" s="22">
        <f>AV102/F103</f>
        <v>1.06993007</v>
      </c>
      <c r="AW103" s="21">
        <f t="shared" ref="AW103:AY103" si="302">AS103+AW102</f>
        <v>15</v>
      </c>
      <c r="AX103" s="21">
        <f t="shared" si="302"/>
        <v>49</v>
      </c>
      <c r="AY103" s="21">
        <f t="shared" si="302"/>
        <v>0</v>
      </c>
      <c r="AZ103" s="22">
        <f>AZ102/F103</f>
        <v>1.076923077</v>
      </c>
      <c r="BA103" s="21">
        <f t="shared" ref="BA103:BC103" si="303">AW103+BA102</f>
        <v>15</v>
      </c>
      <c r="BB103" s="21">
        <f t="shared" si="303"/>
        <v>49</v>
      </c>
      <c r="BC103" s="21">
        <f t="shared" si="303"/>
        <v>0</v>
      </c>
      <c r="BD103" s="22">
        <f>BD102/F103</f>
        <v>1.076923077</v>
      </c>
      <c r="BE103" s="21">
        <f t="shared" ref="BE103:BG103" si="304">BA103+BE102</f>
        <v>15</v>
      </c>
      <c r="BF103" s="21">
        <f t="shared" si="304"/>
        <v>49</v>
      </c>
      <c r="BG103" s="21">
        <f t="shared" si="304"/>
        <v>0</v>
      </c>
      <c r="BH103" s="22">
        <f>BH102/F103</f>
        <v>1.076923077</v>
      </c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</row>
    <row r="104">
      <c r="A104" s="32"/>
      <c r="B104" s="21"/>
      <c r="C104" s="21"/>
      <c r="D104" s="21"/>
      <c r="E104" s="21"/>
      <c r="F104" s="21"/>
      <c r="G104" s="22"/>
      <c r="H104" s="25"/>
      <c r="I104" s="25"/>
      <c r="J104" s="25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  <row r="105">
      <c r="A105" s="11" t="s">
        <v>108</v>
      </c>
      <c r="B105" s="24"/>
      <c r="C105" s="24"/>
      <c r="D105" s="24"/>
      <c r="E105" s="24"/>
      <c r="F105" s="24"/>
      <c r="G105" s="28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86"/>
    </row>
    <row r="106">
      <c r="A106" s="21"/>
      <c r="B106" s="87" t="s">
        <v>109</v>
      </c>
      <c r="C106" s="35">
        <v>1.0</v>
      </c>
      <c r="D106" s="36">
        <v>4951.0</v>
      </c>
      <c r="E106" s="41">
        <v>15.0</v>
      </c>
      <c r="F106" s="41">
        <v>16.0</v>
      </c>
      <c r="G106" s="63">
        <f>$BD106/F106</f>
        <v>1.5</v>
      </c>
      <c r="H106" s="39">
        <v>10.0</v>
      </c>
      <c r="I106" s="39">
        <f>+H106+J106</f>
        <v>11</v>
      </c>
      <c r="J106" s="73">
        <v>1.0</v>
      </c>
      <c r="K106" s="35">
        <v>2025.0</v>
      </c>
      <c r="L106" s="41">
        <v>2026.0</v>
      </c>
      <c r="M106" s="41">
        <v>0.0</v>
      </c>
      <c r="N106" s="41">
        <v>0.0</v>
      </c>
      <c r="O106" s="41">
        <v>0.0</v>
      </c>
      <c r="P106" s="39">
        <f>SUM(M106:O106)+H106</f>
        <v>10</v>
      </c>
      <c r="Q106" s="35"/>
      <c r="R106" s="35"/>
      <c r="S106" s="35"/>
      <c r="T106" s="39">
        <f>SUM(P106:S106)</f>
        <v>10</v>
      </c>
      <c r="U106" s="35"/>
      <c r="V106" s="35"/>
      <c r="W106" s="35"/>
      <c r="X106" s="39">
        <f t="shared" ref="X106:X107" si="307">SUM(T106:W106)</f>
        <v>10</v>
      </c>
      <c r="Y106" s="35"/>
      <c r="Z106" s="35"/>
      <c r="AA106" s="35"/>
      <c r="AB106" s="39">
        <f>SUM(X106:AA106)</f>
        <v>10</v>
      </c>
      <c r="AC106" s="35"/>
      <c r="AD106" s="35"/>
      <c r="AE106" s="35"/>
      <c r="AF106" s="39">
        <f>SUM(AB106:AE106)</f>
        <v>10</v>
      </c>
      <c r="AG106" s="35"/>
      <c r="AH106" s="35"/>
      <c r="AI106" s="35"/>
      <c r="AJ106" s="39">
        <f>SUM(AF106:AI106)</f>
        <v>10</v>
      </c>
      <c r="AK106" s="35"/>
      <c r="AL106" s="35"/>
      <c r="AM106" s="35"/>
      <c r="AN106" s="35">
        <f>SUM(AI106:AM106)</f>
        <v>10</v>
      </c>
      <c r="AO106" s="35"/>
      <c r="AP106" s="35"/>
      <c r="AQ106" s="35"/>
      <c r="AR106" s="35">
        <f>SUM(AN106:AQ106)</f>
        <v>10</v>
      </c>
      <c r="AS106" s="41">
        <v>14.0</v>
      </c>
      <c r="AT106" s="35"/>
      <c r="AU106" s="35"/>
      <c r="AV106" s="35">
        <f>SUM(AR106:AU106)</f>
        <v>24</v>
      </c>
      <c r="AW106" s="35"/>
      <c r="AX106" s="35"/>
      <c r="AY106" s="35"/>
      <c r="AZ106" s="35">
        <f>SUM(AV106:AY106)</f>
        <v>24</v>
      </c>
      <c r="BA106" s="35"/>
      <c r="BB106" s="35"/>
      <c r="BC106" s="35"/>
      <c r="BD106" s="35">
        <f>SUM(AZ106:BC106)</f>
        <v>24</v>
      </c>
      <c r="BE106" s="18">
        <v>0.0</v>
      </c>
      <c r="BF106" s="21"/>
      <c r="BG106" s="21"/>
      <c r="BH106" s="88">
        <f>SUM(BD106:BG106)</f>
        <v>24</v>
      </c>
      <c r="BI106" s="26"/>
      <c r="BJ106" s="26"/>
      <c r="BK106" s="26"/>
      <c r="BL106" s="26"/>
      <c r="BM106" s="26"/>
      <c r="BN106" s="26"/>
      <c r="BO106" s="26"/>
    </row>
    <row r="107">
      <c r="A107" s="16"/>
      <c r="B107" s="21"/>
      <c r="C107" s="21"/>
      <c r="D107" s="21"/>
      <c r="E107" s="21"/>
      <c r="F107" s="21"/>
      <c r="G107" s="21"/>
      <c r="H107" s="25"/>
      <c r="I107" s="25"/>
      <c r="J107" s="25"/>
      <c r="K107" s="21"/>
      <c r="L107" s="21"/>
      <c r="M107" s="21"/>
      <c r="N107" s="21"/>
      <c r="O107" s="21"/>
      <c r="P107" s="21">
        <f t="shared" ref="P107:T107" si="305">SUM(P105:P106)</f>
        <v>10</v>
      </c>
      <c r="Q107" s="21">
        <f t="shared" si="305"/>
        <v>0</v>
      </c>
      <c r="R107" s="21">
        <f t="shared" si="305"/>
        <v>0</v>
      </c>
      <c r="S107" s="21">
        <f t="shared" si="305"/>
        <v>0</v>
      </c>
      <c r="T107" s="21">
        <f t="shared" si="305"/>
        <v>10</v>
      </c>
      <c r="U107" s="21">
        <f t="shared" ref="U107:W107" si="306">SUM(V105)</f>
        <v>0</v>
      </c>
      <c r="V107" s="21">
        <f t="shared" si="306"/>
        <v>0</v>
      </c>
      <c r="W107" s="21">
        <f t="shared" si="306"/>
        <v>0</v>
      </c>
      <c r="X107" s="35">
        <f t="shared" si="307"/>
        <v>10</v>
      </c>
      <c r="Y107" s="21"/>
      <c r="Z107" s="21">
        <f t="shared" ref="Z107:BG107" si="308">SUM(AA105)</f>
        <v>0</v>
      </c>
      <c r="AA107" s="21">
        <f t="shared" si="308"/>
        <v>0</v>
      </c>
      <c r="AB107" s="21">
        <f t="shared" si="308"/>
        <v>0</v>
      </c>
      <c r="AC107" s="21">
        <f t="shared" si="308"/>
        <v>0</v>
      </c>
      <c r="AD107" s="21">
        <f t="shared" si="308"/>
        <v>0</v>
      </c>
      <c r="AE107" s="21">
        <f t="shared" si="308"/>
        <v>0</v>
      </c>
      <c r="AF107" s="21">
        <f t="shared" si="308"/>
        <v>0</v>
      </c>
      <c r="AG107" s="21">
        <f t="shared" si="308"/>
        <v>0</v>
      </c>
      <c r="AH107" s="21">
        <f t="shared" si="308"/>
        <v>0</v>
      </c>
      <c r="AI107" s="21">
        <f t="shared" si="308"/>
        <v>0</v>
      </c>
      <c r="AJ107" s="21">
        <f t="shared" si="308"/>
        <v>0</v>
      </c>
      <c r="AK107" s="21">
        <f t="shared" si="308"/>
        <v>0</v>
      </c>
      <c r="AL107" s="21">
        <f t="shared" si="308"/>
        <v>0</v>
      </c>
      <c r="AM107" s="21">
        <f t="shared" si="308"/>
        <v>0</v>
      </c>
      <c r="AN107" s="21">
        <f t="shared" si="308"/>
        <v>0</v>
      </c>
      <c r="AO107" s="21">
        <f t="shared" si="308"/>
        <v>0</v>
      </c>
      <c r="AP107" s="21">
        <f t="shared" si="308"/>
        <v>0</v>
      </c>
      <c r="AQ107" s="21">
        <f t="shared" si="308"/>
        <v>0</v>
      </c>
      <c r="AR107" s="21">
        <f t="shared" si="308"/>
        <v>0</v>
      </c>
      <c r="AS107" s="21">
        <f t="shared" si="308"/>
        <v>0</v>
      </c>
      <c r="AT107" s="21">
        <f t="shared" si="308"/>
        <v>0</v>
      </c>
      <c r="AU107" s="21">
        <f t="shared" si="308"/>
        <v>0</v>
      </c>
      <c r="AV107" s="21">
        <f t="shared" si="308"/>
        <v>0</v>
      </c>
      <c r="AW107" s="21">
        <f t="shared" si="308"/>
        <v>0</v>
      </c>
      <c r="AX107" s="21">
        <f t="shared" si="308"/>
        <v>0</v>
      </c>
      <c r="AY107" s="21">
        <f t="shared" si="308"/>
        <v>0</v>
      </c>
      <c r="AZ107" s="21">
        <f t="shared" si="308"/>
        <v>0</v>
      </c>
      <c r="BA107" s="21">
        <f t="shared" si="308"/>
        <v>0</v>
      </c>
      <c r="BB107" s="21">
        <f t="shared" si="308"/>
        <v>0</v>
      </c>
      <c r="BC107" s="21">
        <f t="shared" si="308"/>
        <v>0</v>
      </c>
      <c r="BD107" s="21">
        <f t="shared" si="308"/>
        <v>0</v>
      </c>
      <c r="BE107" s="21">
        <f t="shared" si="308"/>
        <v>0</v>
      </c>
      <c r="BF107" s="21">
        <f t="shared" si="308"/>
        <v>0</v>
      </c>
      <c r="BG107" s="21">
        <f t="shared" si="308"/>
        <v>0</v>
      </c>
    </row>
    <row r="108">
      <c r="A108" s="21"/>
      <c r="B108" s="21" t="s">
        <v>35</v>
      </c>
      <c r="C108" s="21">
        <f>COUNT(C106)</f>
        <v>1</v>
      </c>
      <c r="D108" s="21"/>
      <c r="E108" s="21">
        <f t="shared" ref="E108:F108" si="309">SUM(E105:E106)</f>
        <v>15</v>
      </c>
      <c r="F108" s="21">
        <f t="shared" si="309"/>
        <v>16</v>
      </c>
      <c r="G108" s="22">
        <f>$BO106/F108</f>
        <v>0</v>
      </c>
      <c r="H108" s="25">
        <f t="shared" ref="H108:I108" si="310">+H106</f>
        <v>10</v>
      </c>
      <c r="I108" s="25">
        <f t="shared" si="310"/>
        <v>11</v>
      </c>
      <c r="J108" s="55">
        <v>0.0</v>
      </c>
      <c r="K108" s="21"/>
      <c r="L108" s="21"/>
      <c r="M108" s="21"/>
      <c r="N108" s="21"/>
      <c r="O108" s="21"/>
      <c r="P108" s="22">
        <f>P107/F108</f>
        <v>0.625</v>
      </c>
      <c r="Q108" s="21"/>
      <c r="R108" s="21">
        <f t="shared" ref="R108:S108" si="311">M107+R107</f>
        <v>0</v>
      </c>
      <c r="S108" s="21">
        <f t="shared" si="311"/>
        <v>0</v>
      </c>
      <c r="T108" s="22">
        <f>T107/F108</f>
        <v>0.625</v>
      </c>
      <c r="U108" s="21"/>
      <c r="V108" s="21">
        <f t="shared" ref="V108:W108" si="312">R108+V107</f>
        <v>0</v>
      </c>
      <c r="W108" s="21">
        <f t="shared" si="312"/>
        <v>0</v>
      </c>
      <c r="X108" s="22">
        <f>X107/F108</f>
        <v>0.625</v>
      </c>
      <c r="Y108" s="22"/>
      <c r="Z108" s="21"/>
      <c r="AA108" s="21">
        <f>V108+AA107</f>
        <v>0</v>
      </c>
      <c r="AB108" s="22">
        <f>X108+AC107</f>
        <v>0.625</v>
      </c>
      <c r="AC108" s="22">
        <f>AD107/F108</f>
        <v>0</v>
      </c>
      <c r="AD108" s="21"/>
      <c r="AE108" s="21">
        <f>AA108+AF107</f>
        <v>0</v>
      </c>
      <c r="AF108" s="22">
        <f>AB108+AH107</f>
        <v>0.625</v>
      </c>
      <c r="AG108" s="22">
        <f>AI107/F108</f>
        <v>0</v>
      </c>
      <c r="AH108" s="21"/>
      <c r="AI108" s="21">
        <f>AE108+AK107</f>
        <v>0</v>
      </c>
      <c r="AJ108" s="22">
        <f>AF108+AM107</f>
        <v>0.625</v>
      </c>
      <c r="AK108" s="22">
        <f>AN107/F108</f>
        <v>0</v>
      </c>
      <c r="AL108" s="21"/>
      <c r="AM108" s="21">
        <f>AI108+AP107</f>
        <v>0</v>
      </c>
      <c r="AN108" s="22">
        <f>AJ108+AR107</f>
        <v>0.625</v>
      </c>
      <c r="AO108" s="22">
        <f>AS107/F108</f>
        <v>0</v>
      </c>
      <c r="AP108" s="21"/>
      <c r="AQ108" s="21">
        <f>AM108+AU107</f>
        <v>0</v>
      </c>
      <c r="AR108" s="22">
        <f>AN108+AW107</f>
        <v>0.625</v>
      </c>
      <c r="AS108" s="22"/>
      <c r="AT108" s="22"/>
      <c r="AU108" s="21">
        <f>AQ108+AZ107</f>
        <v>0</v>
      </c>
      <c r="AV108" s="22">
        <f>AR108+BB107</f>
        <v>0.625</v>
      </c>
      <c r="AW108" s="22"/>
      <c r="AX108" s="21"/>
      <c r="AY108" s="21">
        <f>AU108+BE107</f>
        <v>0</v>
      </c>
      <c r="AZ108" s="22">
        <f>AV108+AR107</f>
        <v>0.625</v>
      </c>
      <c r="BA108" s="22"/>
      <c r="BB108" s="21"/>
      <c r="BC108" s="21"/>
      <c r="BD108" s="22">
        <f>AZ108+BC107</f>
        <v>0.625</v>
      </c>
      <c r="BE108" s="21"/>
      <c r="BF108" s="22"/>
      <c r="BG108" s="21"/>
      <c r="BH108" s="89">
        <f>BD108+BG107</f>
        <v>0.625</v>
      </c>
      <c r="BI108" s="26"/>
      <c r="BJ108" s="26"/>
      <c r="BK108" s="29"/>
    </row>
    <row r="109">
      <c r="A109" s="33"/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88"/>
      <c r="BI109" s="26"/>
      <c r="BJ109" s="26"/>
      <c r="BK109" s="26"/>
      <c r="BL109" s="26"/>
      <c r="BM109" s="26"/>
      <c r="BN109" s="26"/>
      <c r="BO109" s="26"/>
      <c r="BP109" s="26"/>
      <c r="BQ109" s="26"/>
      <c r="BR109" s="16"/>
      <c r="BS109" s="16"/>
    </row>
    <row r="110">
      <c r="A110" s="32" t="s">
        <v>110</v>
      </c>
      <c r="B110" s="21"/>
      <c r="C110" s="21"/>
      <c r="D110" s="21"/>
      <c r="E110" s="21"/>
      <c r="F110" s="21"/>
      <c r="G110" s="22"/>
      <c r="H110" s="25"/>
      <c r="I110" s="25"/>
      <c r="J110" s="25"/>
      <c r="K110" s="21"/>
      <c r="L110" s="21"/>
      <c r="M110" s="21"/>
      <c r="N110" s="21"/>
      <c r="O110" s="21"/>
      <c r="P110" s="25" t="str">
        <f>+H110</f>
        <v/>
      </c>
      <c r="Q110" s="21"/>
      <c r="R110" s="21"/>
      <c r="S110" s="21"/>
      <c r="T110" s="25">
        <f t="shared" ref="T110:T115" si="313">SUM(P110:S110)</f>
        <v>0</v>
      </c>
      <c r="U110" s="21"/>
      <c r="V110" s="21"/>
      <c r="W110" s="21"/>
      <c r="X110" s="25">
        <f t="shared" ref="X110:X115" si="314">SUM(T110:W110)</f>
        <v>0</v>
      </c>
      <c r="Y110" s="21"/>
      <c r="Z110" s="21"/>
      <c r="AA110" s="21"/>
      <c r="AB110" s="25">
        <f t="shared" ref="AB110:AB115" si="315">SUM(X110:AA110)</f>
        <v>0</v>
      </c>
      <c r="AC110" s="21"/>
      <c r="AD110" s="21"/>
      <c r="AE110" s="21"/>
      <c r="AF110" s="21"/>
      <c r="AG110" s="25">
        <f t="shared" ref="AG110:AG115" si="316">SUM(AB110:AF110)</f>
        <v>0</v>
      </c>
      <c r="AH110" s="21"/>
      <c r="AI110" s="21"/>
      <c r="AJ110" s="21"/>
      <c r="AK110" s="21"/>
      <c r="AL110" s="25">
        <f t="shared" ref="AL110:AL115" si="317">SUM(AG110:AK110)</f>
        <v>0</v>
      </c>
      <c r="AM110" s="21"/>
      <c r="AN110" s="21"/>
      <c r="AO110" s="21"/>
      <c r="AP110" s="21"/>
      <c r="AQ110" s="25">
        <f t="shared" ref="AQ110:AQ115" si="318">SUM(AL110:AP110)</f>
        <v>0</v>
      </c>
      <c r="AR110" s="21"/>
      <c r="AS110" s="21"/>
      <c r="AT110" s="21"/>
      <c r="AU110" s="21"/>
      <c r="AV110" s="25">
        <f t="shared" ref="AV110:AV115" si="319">SUM(AQ110:AU110)</f>
        <v>0</v>
      </c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90"/>
      <c r="BH110" s="88"/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30" t="s">
        <v>111</v>
      </c>
      <c r="C111" s="21">
        <v>2.0</v>
      </c>
      <c r="D111" s="49">
        <v>3883.0</v>
      </c>
      <c r="E111" s="21">
        <v>12.0</v>
      </c>
      <c r="F111" s="21">
        <f t="shared" ref="F111:F115" si="320">E111+1</f>
        <v>13</v>
      </c>
      <c r="G111" s="22">
        <f t="shared" ref="G111:G115" si="321">$BH111/F111</f>
        <v>0.9230769231</v>
      </c>
      <c r="H111" s="25">
        <v>5.0</v>
      </c>
      <c r="I111" s="25">
        <f t="shared" ref="I111:I115" si="322">+H111+J111</f>
        <v>5</v>
      </c>
      <c r="J111" s="25"/>
      <c r="K111" s="21">
        <v>2027.0</v>
      </c>
      <c r="L111" s="21">
        <v>2026.0</v>
      </c>
      <c r="M111" s="21"/>
      <c r="N111" s="18">
        <v>7.0</v>
      </c>
      <c r="O111" s="21"/>
      <c r="P111" s="25">
        <f t="shared" ref="P111:P115" si="323">H111+SUM(M111:O111)</f>
        <v>12</v>
      </c>
      <c r="Q111" s="21"/>
      <c r="R111" s="21"/>
      <c r="S111" s="21"/>
      <c r="T111" s="25">
        <f t="shared" si="313"/>
        <v>12</v>
      </c>
      <c r="U111" s="21"/>
      <c r="V111" s="21"/>
      <c r="W111" s="21"/>
      <c r="X111" s="25">
        <f t="shared" si="314"/>
        <v>12</v>
      </c>
      <c r="Y111" s="21"/>
      <c r="Z111" s="21"/>
      <c r="AA111" s="21"/>
      <c r="AB111" s="25">
        <f t="shared" si="315"/>
        <v>12</v>
      </c>
      <c r="AC111" s="21"/>
      <c r="AD111" s="21"/>
      <c r="AE111" s="21"/>
      <c r="AF111" s="21"/>
      <c r="AG111" s="25">
        <f t="shared" si="316"/>
        <v>12</v>
      </c>
      <c r="AH111" s="21"/>
      <c r="AI111" s="21"/>
      <c r="AJ111" s="21"/>
      <c r="AK111" s="21"/>
      <c r="AL111" s="25">
        <f t="shared" si="317"/>
        <v>12</v>
      </c>
      <c r="AM111" s="21"/>
      <c r="AN111" s="21"/>
      <c r="AO111" s="21"/>
      <c r="AP111" s="21"/>
      <c r="AQ111" s="25">
        <f t="shared" si="318"/>
        <v>12</v>
      </c>
      <c r="AR111" s="21"/>
      <c r="AS111" s="21"/>
      <c r="AT111" s="21"/>
      <c r="AU111" s="21"/>
      <c r="AV111" s="25">
        <f t="shared" si="319"/>
        <v>12</v>
      </c>
      <c r="AW111" s="21"/>
      <c r="AX111" s="21"/>
      <c r="AY111" s="21">
        <f t="shared" ref="AY111:AY115" si="324">SUM(AU111:AX111)</f>
        <v>12</v>
      </c>
      <c r="AZ111" s="21"/>
      <c r="BA111" s="21"/>
      <c r="BB111" s="21"/>
      <c r="BC111" s="90"/>
      <c r="BD111" s="21">
        <f t="shared" ref="BD111:BD115" si="325">SUM(AX111:BB111)</f>
        <v>12</v>
      </c>
      <c r="BE111" s="21"/>
      <c r="BF111" s="21"/>
      <c r="BG111" s="90"/>
      <c r="BH111" s="88">
        <f t="shared" ref="BH111:BH115" si="326">SUM(BD111:BF111)</f>
        <v>12</v>
      </c>
      <c r="BI111" s="26"/>
      <c r="BJ111" s="26"/>
      <c r="BK111" s="26"/>
      <c r="BL111" s="26"/>
      <c r="BM111" s="26"/>
      <c r="BN111" s="26"/>
      <c r="BO111" s="26"/>
      <c r="BP111" s="26"/>
      <c r="BQ111" s="16"/>
      <c r="BR111" s="16"/>
    </row>
    <row r="112">
      <c r="A112" s="34"/>
      <c r="B112" s="68" t="s">
        <v>112</v>
      </c>
      <c r="C112" s="35">
        <v>42.0</v>
      </c>
      <c r="D112" s="36">
        <v>5220.0</v>
      </c>
      <c r="E112" s="35">
        <v>32.0</v>
      </c>
      <c r="F112" s="21">
        <f t="shared" si="320"/>
        <v>33</v>
      </c>
      <c r="G112" s="22">
        <f t="shared" si="321"/>
        <v>0.3636363636</v>
      </c>
      <c r="H112" s="39">
        <v>10.0</v>
      </c>
      <c r="I112" s="39">
        <f t="shared" si="322"/>
        <v>11</v>
      </c>
      <c r="J112" s="73">
        <v>1.0</v>
      </c>
      <c r="K112" s="35">
        <v>2027.0</v>
      </c>
      <c r="L112" s="21">
        <v>2026.0</v>
      </c>
      <c r="M112" s="35"/>
      <c r="N112" s="35"/>
      <c r="O112" s="35"/>
      <c r="P112" s="39">
        <f t="shared" si="323"/>
        <v>10</v>
      </c>
      <c r="Q112" s="35"/>
      <c r="R112" s="35"/>
      <c r="S112" s="35"/>
      <c r="T112" s="39">
        <f t="shared" si="313"/>
        <v>10</v>
      </c>
      <c r="U112" s="35"/>
      <c r="V112" s="35"/>
      <c r="W112" s="35"/>
      <c r="X112" s="39">
        <f t="shared" si="314"/>
        <v>10</v>
      </c>
      <c r="Y112" s="35"/>
      <c r="Z112" s="35">
        <v>2.0</v>
      </c>
      <c r="AA112" s="35"/>
      <c r="AB112" s="39">
        <f t="shared" si="315"/>
        <v>12</v>
      </c>
      <c r="AC112" s="35"/>
      <c r="AD112" s="35"/>
      <c r="AE112" s="35"/>
      <c r="AF112" s="35"/>
      <c r="AG112" s="39">
        <f t="shared" si="316"/>
        <v>12</v>
      </c>
      <c r="AH112" s="35"/>
      <c r="AI112" s="35"/>
      <c r="AJ112" s="35"/>
      <c r="AK112" s="35"/>
      <c r="AL112" s="39">
        <f t="shared" si="317"/>
        <v>12</v>
      </c>
      <c r="AM112" s="35"/>
      <c r="AN112" s="35"/>
      <c r="AO112" s="35"/>
      <c r="AP112" s="35"/>
      <c r="AQ112" s="39">
        <f t="shared" si="318"/>
        <v>12</v>
      </c>
      <c r="AR112" s="35"/>
      <c r="AS112" s="35"/>
      <c r="AT112" s="35"/>
      <c r="AU112" s="35"/>
      <c r="AV112" s="39">
        <f t="shared" si="319"/>
        <v>12</v>
      </c>
      <c r="AW112" s="35"/>
      <c r="AX112" s="35"/>
      <c r="AY112" s="21">
        <f t="shared" si="324"/>
        <v>12</v>
      </c>
      <c r="AZ112" s="35"/>
      <c r="BA112" s="35"/>
      <c r="BB112" s="35"/>
      <c r="BC112" s="90"/>
      <c r="BD112" s="35">
        <f t="shared" si="325"/>
        <v>12</v>
      </c>
      <c r="BE112" s="35"/>
      <c r="BF112" s="35"/>
      <c r="BG112" s="90"/>
      <c r="BH112" s="88">
        <f t="shared" si="326"/>
        <v>12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68" t="s">
        <v>113</v>
      </c>
      <c r="C113" s="35">
        <v>48.0</v>
      </c>
      <c r="D113" s="36">
        <v>2244.0</v>
      </c>
      <c r="E113" s="35">
        <v>33.0</v>
      </c>
      <c r="F113" s="21">
        <f t="shared" si="320"/>
        <v>34</v>
      </c>
      <c r="G113" s="22">
        <f t="shared" si="321"/>
        <v>0.9117647059</v>
      </c>
      <c r="H113" s="39">
        <v>17.0</v>
      </c>
      <c r="I113" s="39">
        <f t="shared" si="322"/>
        <v>17</v>
      </c>
      <c r="J113" s="39"/>
      <c r="K113" s="21">
        <v>2027.0</v>
      </c>
      <c r="L113" s="21">
        <v>2025.0</v>
      </c>
      <c r="M113" s="35"/>
      <c r="N113" s="35"/>
      <c r="O113" s="35"/>
      <c r="P113" s="39">
        <f t="shared" si="323"/>
        <v>17</v>
      </c>
      <c r="Q113" s="35"/>
      <c r="R113" s="35"/>
      <c r="S113" s="35"/>
      <c r="T113" s="39">
        <f t="shared" si="313"/>
        <v>17</v>
      </c>
      <c r="U113" s="35"/>
      <c r="V113" s="35"/>
      <c r="W113" s="35"/>
      <c r="X113" s="39">
        <f t="shared" si="314"/>
        <v>17</v>
      </c>
      <c r="Y113" s="35"/>
      <c r="Z113" s="35"/>
      <c r="AA113" s="35"/>
      <c r="AB113" s="39">
        <f t="shared" si="315"/>
        <v>17</v>
      </c>
      <c r="AC113" s="35"/>
      <c r="AD113" s="35"/>
      <c r="AE113" s="35"/>
      <c r="AF113" s="35"/>
      <c r="AG113" s="39">
        <f t="shared" si="316"/>
        <v>17</v>
      </c>
      <c r="AH113" s="35"/>
      <c r="AI113" s="35"/>
      <c r="AJ113" s="35">
        <v>14.0</v>
      </c>
      <c r="AK113" s="35"/>
      <c r="AL113" s="39">
        <f t="shared" si="317"/>
        <v>31</v>
      </c>
      <c r="AM113" s="35"/>
      <c r="AN113" s="35"/>
      <c r="AO113" s="35"/>
      <c r="AP113" s="35"/>
      <c r="AQ113" s="39">
        <f t="shared" si="318"/>
        <v>31</v>
      </c>
      <c r="AR113" s="35"/>
      <c r="AS113" s="35"/>
      <c r="AT113" s="35"/>
      <c r="AU113" s="35"/>
      <c r="AV113" s="39">
        <f t="shared" si="319"/>
        <v>31</v>
      </c>
      <c r="AW113" s="35"/>
      <c r="AX113" s="35"/>
      <c r="AY113" s="21">
        <f t="shared" si="324"/>
        <v>31</v>
      </c>
      <c r="AZ113" s="35"/>
      <c r="BA113" s="35"/>
      <c r="BB113" s="35"/>
      <c r="BC113" s="90"/>
      <c r="BD113" s="35">
        <f t="shared" si="325"/>
        <v>31</v>
      </c>
      <c r="BE113" s="35"/>
      <c r="BF113" s="35"/>
      <c r="BG113" s="90"/>
      <c r="BH113" s="88">
        <f t="shared" si="326"/>
        <v>31</v>
      </c>
      <c r="BI113" s="42"/>
      <c r="BJ113" s="42"/>
      <c r="BK113" s="42"/>
      <c r="BL113" s="42"/>
      <c r="BM113" s="42"/>
      <c r="BN113" s="42"/>
      <c r="BO113" s="42"/>
      <c r="BP113" s="42"/>
      <c r="BQ113" s="16"/>
      <c r="BR113" s="16"/>
    </row>
    <row r="114">
      <c r="A114" s="34"/>
      <c r="B114" s="30" t="s">
        <v>114</v>
      </c>
      <c r="C114" s="21">
        <v>62.0</v>
      </c>
      <c r="D114" s="49">
        <v>99.0</v>
      </c>
      <c r="E114" s="21">
        <v>14.0</v>
      </c>
      <c r="F114" s="21">
        <f t="shared" si="320"/>
        <v>15</v>
      </c>
      <c r="G114" s="22">
        <f t="shared" si="321"/>
        <v>0.9333333333</v>
      </c>
      <c r="H114" s="25">
        <v>6.0</v>
      </c>
      <c r="I114" s="25">
        <f t="shared" si="322"/>
        <v>6</v>
      </c>
      <c r="J114" s="25"/>
      <c r="K114" s="21">
        <v>2027.0</v>
      </c>
      <c r="L114" s="21">
        <v>2026.0</v>
      </c>
      <c r="M114" s="21"/>
      <c r="N114" s="21"/>
      <c r="O114" s="21"/>
      <c r="P114" s="25">
        <f t="shared" si="323"/>
        <v>6</v>
      </c>
      <c r="Q114" s="21"/>
      <c r="R114" s="21"/>
      <c r="S114" s="21"/>
      <c r="T114" s="25">
        <f t="shared" si="313"/>
        <v>6</v>
      </c>
      <c r="U114" s="21"/>
      <c r="V114" s="21"/>
      <c r="W114" s="21"/>
      <c r="X114" s="25">
        <f t="shared" si="314"/>
        <v>6</v>
      </c>
      <c r="Y114" s="21"/>
      <c r="Z114" s="21"/>
      <c r="AA114" s="21"/>
      <c r="AB114" s="25">
        <f t="shared" si="315"/>
        <v>6</v>
      </c>
      <c r="AC114" s="21"/>
      <c r="AD114" s="21"/>
      <c r="AE114" s="21"/>
      <c r="AF114" s="21"/>
      <c r="AG114" s="25">
        <f t="shared" si="316"/>
        <v>6</v>
      </c>
      <c r="AH114" s="21"/>
      <c r="AI114" s="21"/>
      <c r="AJ114" s="21"/>
      <c r="AK114" s="21"/>
      <c r="AL114" s="25">
        <f t="shared" si="317"/>
        <v>6</v>
      </c>
      <c r="AM114" s="21"/>
      <c r="AN114" s="21"/>
      <c r="AO114" s="21"/>
      <c r="AP114" s="21"/>
      <c r="AQ114" s="25">
        <f t="shared" si="318"/>
        <v>6</v>
      </c>
      <c r="AR114" s="21"/>
      <c r="AS114" s="21"/>
      <c r="AT114" s="21"/>
      <c r="AU114" s="21"/>
      <c r="AV114" s="25">
        <f t="shared" si="319"/>
        <v>6</v>
      </c>
      <c r="AW114" s="21"/>
      <c r="AX114" s="21"/>
      <c r="AY114" s="21">
        <f t="shared" si="324"/>
        <v>6</v>
      </c>
      <c r="AZ114" s="21"/>
      <c r="BA114" s="21"/>
      <c r="BB114" s="18">
        <v>8.0</v>
      </c>
      <c r="BC114" s="90"/>
      <c r="BD114" s="21">
        <f t="shared" si="325"/>
        <v>14</v>
      </c>
      <c r="BE114" s="21"/>
      <c r="BF114" s="21"/>
      <c r="BG114" s="90"/>
      <c r="BH114" s="88">
        <f t="shared" si="326"/>
        <v>14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34"/>
      <c r="B115" s="30" t="s">
        <v>115</v>
      </c>
      <c r="C115" s="21">
        <v>79.0</v>
      </c>
      <c r="D115" s="49">
        <v>4600.0</v>
      </c>
      <c r="E115" s="21">
        <v>38.0</v>
      </c>
      <c r="F115" s="21">
        <f t="shared" si="320"/>
        <v>39</v>
      </c>
      <c r="G115" s="22">
        <f t="shared" si="321"/>
        <v>0.9487179487</v>
      </c>
      <c r="H115" s="25">
        <v>30.0</v>
      </c>
      <c r="I115" s="25">
        <f t="shared" si="322"/>
        <v>30</v>
      </c>
      <c r="J115" s="25"/>
      <c r="K115" s="21">
        <v>2027.0</v>
      </c>
      <c r="L115" s="21">
        <v>2025.0</v>
      </c>
      <c r="M115" s="21"/>
      <c r="N115" s="21"/>
      <c r="O115" s="21"/>
      <c r="P115" s="25">
        <f t="shared" si="323"/>
        <v>30</v>
      </c>
      <c r="Q115" s="21"/>
      <c r="R115" s="21"/>
      <c r="S115" s="21"/>
      <c r="T115" s="25">
        <f t="shared" si="313"/>
        <v>30</v>
      </c>
      <c r="U115" s="21"/>
      <c r="V115" s="21"/>
      <c r="W115" s="21"/>
      <c r="X115" s="25">
        <f t="shared" si="314"/>
        <v>30</v>
      </c>
      <c r="Y115" s="21"/>
      <c r="Z115" s="21"/>
      <c r="AA115" s="21"/>
      <c r="AB115" s="25">
        <f t="shared" si="315"/>
        <v>30</v>
      </c>
      <c r="AC115" s="21"/>
      <c r="AD115" s="21"/>
      <c r="AE115" s="21"/>
      <c r="AF115" s="21"/>
      <c r="AG115" s="25">
        <f t="shared" si="316"/>
        <v>30</v>
      </c>
      <c r="AH115" s="21"/>
      <c r="AI115" s="21"/>
      <c r="AJ115" s="21"/>
      <c r="AK115" s="21"/>
      <c r="AL115" s="25">
        <f t="shared" si="317"/>
        <v>30</v>
      </c>
      <c r="AM115" s="21"/>
      <c r="AN115" s="21"/>
      <c r="AO115" s="21"/>
      <c r="AP115" s="21"/>
      <c r="AQ115" s="25">
        <f t="shared" si="318"/>
        <v>30</v>
      </c>
      <c r="AR115" s="21"/>
      <c r="AS115" s="21"/>
      <c r="AT115" s="21"/>
      <c r="AU115" s="21"/>
      <c r="AV115" s="25">
        <f t="shared" si="319"/>
        <v>30</v>
      </c>
      <c r="AW115" s="21"/>
      <c r="AX115" s="21"/>
      <c r="AY115" s="21">
        <f t="shared" si="324"/>
        <v>30</v>
      </c>
      <c r="AZ115" s="21"/>
      <c r="BA115" s="21"/>
      <c r="BB115" s="21"/>
      <c r="BC115" s="90"/>
      <c r="BD115" s="21">
        <f t="shared" si="325"/>
        <v>30</v>
      </c>
      <c r="BE115" s="18">
        <v>1.0</v>
      </c>
      <c r="BF115" s="18">
        <v>6.0</v>
      </c>
      <c r="BG115" s="90"/>
      <c r="BH115" s="88">
        <f t="shared" si="326"/>
        <v>37</v>
      </c>
      <c r="BI115" s="26"/>
      <c r="BJ115" s="26"/>
      <c r="BK115" s="26"/>
      <c r="BL115" s="26"/>
      <c r="BM115" s="26"/>
      <c r="BN115" s="26"/>
      <c r="BO115" s="26"/>
      <c r="BP115" s="26"/>
      <c r="BQ115" s="16"/>
      <c r="BR115" s="16"/>
    </row>
    <row r="116">
      <c r="A116" s="91"/>
      <c r="B116" s="91"/>
      <c r="C116" s="91"/>
      <c r="D116" s="91"/>
      <c r="E116" s="91"/>
      <c r="F116" s="91"/>
      <c r="G116" s="22"/>
      <c r="H116" s="25"/>
      <c r="I116" s="25"/>
      <c r="J116" s="25"/>
      <c r="K116" s="91"/>
      <c r="L116" s="91"/>
      <c r="M116" s="91"/>
      <c r="N116" s="91"/>
      <c r="O116" s="91"/>
      <c r="P116" s="22"/>
      <c r="Q116" s="91"/>
      <c r="R116" s="91"/>
      <c r="S116" s="91"/>
      <c r="T116" s="22"/>
      <c r="U116" s="91"/>
      <c r="V116" s="91"/>
      <c r="W116" s="91"/>
      <c r="X116" s="22"/>
      <c r="Y116" s="91"/>
      <c r="Z116" s="91"/>
      <c r="AA116" s="91"/>
      <c r="AB116" s="91"/>
      <c r="AC116" s="22"/>
      <c r="AD116" s="91"/>
      <c r="AE116" s="91"/>
      <c r="AF116" s="91"/>
      <c r="AG116" s="91"/>
      <c r="AH116" s="22"/>
      <c r="AI116" s="91"/>
      <c r="AJ116" s="91"/>
      <c r="AK116" s="91"/>
      <c r="AL116" s="91"/>
      <c r="AM116" s="22"/>
      <c r="AN116" s="91"/>
      <c r="AO116" s="91"/>
      <c r="AP116" s="91"/>
      <c r="AQ116" s="91"/>
      <c r="AR116" s="22"/>
      <c r="AS116" s="91"/>
      <c r="AT116" s="91"/>
      <c r="AU116" s="91"/>
      <c r="AV116" s="91"/>
      <c r="AW116" s="22"/>
      <c r="AX116" s="91"/>
      <c r="AY116" s="91"/>
      <c r="AZ116" s="91"/>
      <c r="BA116" s="91"/>
      <c r="BB116" s="22"/>
      <c r="BC116" s="91"/>
      <c r="BD116" s="91"/>
      <c r="BE116" s="91"/>
      <c r="BF116" s="91"/>
      <c r="BG116" s="22"/>
      <c r="BH116" s="91"/>
      <c r="BI116" s="16"/>
      <c r="BJ116" s="16"/>
      <c r="BK116" s="16"/>
      <c r="BL116" s="29"/>
      <c r="BM116" s="16"/>
      <c r="BN116" s="16"/>
      <c r="BO116" s="16"/>
      <c r="BP116" s="16"/>
      <c r="BQ116" s="29"/>
      <c r="BR116" s="16"/>
      <c r="BS116" s="16"/>
    </row>
    <row r="117">
      <c r="A117" s="32" t="s">
        <v>116</v>
      </c>
      <c r="B117" s="91"/>
      <c r="C117" s="91"/>
      <c r="D117" s="91"/>
      <c r="E117" s="91"/>
      <c r="F117" s="91"/>
      <c r="G117" s="22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</row>
    <row r="118">
      <c r="A118" s="21"/>
      <c r="B118" s="92" t="s">
        <v>117</v>
      </c>
      <c r="C118" s="21">
        <v>11.0</v>
      </c>
      <c r="D118" s="49">
        <v>889.0</v>
      </c>
      <c r="E118" s="21">
        <v>46.0</v>
      </c>
      <c r="F118" s="21">
        <f>E118+1</f>
        <v>47</v>
      </c>
      <c r="G118" s="22">
        <f>$BH118/F118</f>
        <v>1.404255319</v>
      </c>
      <c r="H118" s="25">
        <v>20.0</v>
      </c>
      <c r="I118" s="25">
        <f>+H118+J118</f>
        <v>20</v>
      </c>
      <c r="J118" s="25"/>
      <c r="K118" s="21">
        <v>2025.0</v>
      </c>
      <c r="L118" s="21">
        <v>2025.0</v>
      </c>
      <c r="M118" s="21">
        <v>3.0</v>
      </c>
      <c r="N118" s="21">
        <v>5.0</v>
      </c>
      <c r="O118" s="21"/>
      <c r="P118" s="25">
        <f>SUM(M118:O118)+H118</f>
        <v>28</v>
      </c>
      <c r="Q118" s="21"/>
      <c r="R118" s="21"/>
      <c r="S118" s="21"/>
      <c r="T118" s="25">
        <f>SUM(P118:S118)</f>
        <v>28</v>
      </c>
      <c r="U118" s="21"/>
      <c r="V118" s="21"/>
      <c r="W118" s="21"/>
      <c r="X118" s="25">
        <f>SUM(T118:W118)</f>
        <v>28</v>
      </c>
      <c r="Y118" s="21"/>
      <c r="Z118" s="21"/>
      <c r="AA118" s="21"/>
      <c r="AB118" s="25">
        <f>SUM(X118:AA118)</f>
        <v>28</v>
      </c>
      <c r="AC118" s="21"/>
      <c r="AD118" s="21"/>
      <c r="AE118" s="21"/>
      <c r="AF118" s="25">
        <f>SUM(AB118:AE118)</f>
        <v>28</v>
      </c>
      <c r="AG118" s="21"/>
      <c r="AH118" s="21"/>
      <c r="AI118" s="21"/>
      <c r="AJ118" s="25">
        <f>SUM(AF118:AI118)</f>
        <v>28</v>
      </c>
      <c r="AK118" s="21"/>
      <c r="AL118" s="21"/>
      <c r="AM118" s="21"/>
      <c r="AN118" s="25">
        <f>SUM(AJ118:AM118)</f>
        <v>28</v>
      </c>
      <c r="AO118" s="21"/>
      <c r="AP118" s="21"/>
      <c r="AQ118" s="21"/>
      <c r="AR118" s="25">
        <f>SUM(AN118:AQ118)</f>
        <v>28</v>
      </c>
      <c r="AS118" s="21"/>
      <c r="AT118" s="21"/>
      <c r="AU118" s="21"/>
      <c r="AV118" s="25">
        <f>SUM(AR118:AU118)</f>
        <v>28</v>
      </c>
      <c r="AW118" s="21"/>
      <c r="AX118" s="18">
        <v>19.0</v>
      </c>
      <c r="AY118" s="21"/>
      <c r="AZ118" s="25">
        <f>SUM(AV118:AY118)</f>
        <v>47</v>
      </c>
      <c r="BA118" s="21"/>
      <c r="BB118" s="21"/>
      <c r="BC118" s="21"/>
      <c r="BD118" s="21">
        <f>SUM(AX118:BB118)</f>
        <v>66</v>
      </c>
      <c r="BE118" s="21"/>
      <c r="BF118" s="21"/>
      <c r="BG118" s="21"/>
      <c r="BH118" s="21">
        <f>SUM(BD118:BF118)</f>
        <v>66</v>
      </c>
      <c r="BI118" s="26"/>
      <c r="BJ118" s="26"/>
      <c r="BK118" s="16"/>
      <c r="BL118" s="16"/>
    </row>
    <row r="119">
      <c r="A119" s="16"/>
      <c r="B119" s="21"/>
      <c r="C119" s="21"/>
      <c r="D119" s="21"/>
      <c r="E119" s="21"/>
      <c r="F119" s="21"/>
      <c r="G119" s="21"/>
      <c r="H119" s="25"/>
      <c r="I119" s="25"/>
      <c r="J119" s="2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>
        <f t="shared" ref="U119:W119" si="327">SUM(U116:U118)</f>
        <v>0</v>
      </c>
      <c r="V119" s="21">
        <f t="shared" si="327"/>
        <v>0</v>
      </c>
      <c r="W119" s="21">
        <f t="shared" si="327"/>
        <v>0</v>
      </c>
      <c r="X119" s="21"/>
      <c r="Y119" s="21">
        <f t="shared" ref="Y119:AA119" si="328">SUM(Y116:Y118)</f>
        <v>0</v>
      </c>
      <c r="Z119" s="21">
        <f t="shared" si="328"/>
        <v>0</v>
      </c>
      <c r="AA119" s="21">
        <f t="shared" si="328"/>
        <v>0</v>
      </c>
      <c r="AB119" s="22">
        <f t="shared" ref="AB119:AE119" si="329">SUM(AC116:AC117)</f>
        <v>0</v>
      </c>
      <c r="AC119" s="21">
        <f t="shared" si="329"/>
        <v>0</v>
      </c>
      <c r="AD119" s="21">
        <f t="shared" si="329"/>
        <v>0</v>
      </c>
      <c r="AE119" s="21">
        <f t="shared" si="329"/>
        <v>0</v>
      </c>
      <c r="AF119" s="22">
        <f t="shared" ref="AF119:AI119" si="330">SUM(AH116:AH117)</f>
        <v>0</v>
      </c>
      <c r="AG119" s="21">
        <f t="shared" si="330"/>
        <v>0</v>
      </c>
      <c r="AH119" s="21">
        <f t="shared" si="330"/>
        <v>0</v>
      </c>
      <c r="AI119" s="21">
        <f t="shared" si="330"/>
        <v>0</v>
      </c>
      <c r="AJ119" s="22">
        <f t="shared" ref="AJ119:AM119" si="331">SUM(AM116:AM117)</f>
        <v>0</v>
      </c>
      <c r="AK119" s="21">
        <f t="shared" si="331"/>
        <v>0</v>
      </c>
      <c r="AL119" s="21">
        <f t="shared" si="331"/>
        <v>0</v>
      </c>
      <c r="AM119" s="21">
        <f t="shared" si="331"/>
        <v>0</v>
      </c>
      <c r="AN119" s="22">
        <f t="shared" ref="AN119:AQ119" si="332">SUM(AR116:AR117)</f>
        <v>0</v>
      </c>
      <c r="AO119" s="21">
        <f t="shared" si="332"/>
        <v>0</v>
      </c>
      <c r="AP119" s="21">
        <f t="shared" si="332"/>
        <v>0</v>
      </c>
      <c r="AQ119" s="21">
        <f t="shared" si="332"/>
        <v>0</v>
      </c>
      <c r="AR119" s="22">
        <f t="shared" ref="AR119:AU119" si="333">SUM(AW116:AW117)</f>
        <v>0</v>
      </c>
      <c r="AS119" s="21">
        <f t="shared" si="333"/>
        <v>0</v>
      </c>
      <c r="AT119" s="21">
        <f t="shared" si="333"/>
        <v>0</v>
      </c>
      <c r="AU119" s="21">
        <f t="shared" si="333"/>
        <v>0</v>
      </c>
      <c r="AV119" s="22">
        <f t="shared" ref="AV119:AY119" si="334">SUM(BB116:BB117)</f>
        <v>0</v>
      </c>
      <c r="AW119" s="21">
        <f t="shared" si="334"/>
        <v>0</v>
      </c>
      <c r="AX119" s="21">
        <f t="shared" si="334"/>
        <v>0</v>
      </c>
      <c r="AY119" s="21">
        <f t="shared" si="334"/>
        <v>0</v>
      </c>
      <c r="AZ119" s="22">
        <f>SUM(BG116:BG117)</f>
        <v>0</v>
      </c>
      <c r="BA119" s="21"/>
      <c r="BB119" s="21"/>
      <c r="BC119" s="21"/>
      <c r="BD119" s="21"/>
      <c r="BE119" s="21"/>
      <c r="BF119" s="21"/>
      <c r="BG119" s="21"/>
      <c r="BH119" s="21"/>
      <c r="BI119" s="26"/>
      <c r="BJ119" s="26"/>
      <c r="BK119" s="16"/>
      <c r="BL119" s="16"/>
    </row>
    <row r="120">
      <c r="A120" s="21"/>
      <c r="B120" s="21" t="s">
        <v>35</v>
      </c>
      <c r="C120" s="21">
        <f>COUNT(C118)</f>
        <v>1</v>
      </c>
      <c r="D120" s="21"/>
      <c r="E120" s="21">
        <f t="shared" ref="E120:F120" si="335">SUM(E116:E118)</f>
        <v>46</v>
      </c>
      <c r="F120" s="21">
        <f t="shared" si="335"/>
        <v>47</v>
      </c>
      <c r="G120" s="22">
        <f>$BA118/F118</f>
        <v>0</v>
      </c>
      <c r="H120" s="25">
        <f t="shared" ref="H120:I120" si="336">+H118</f>
        <v>20</v>
      </c>
      <c r="I120" s="25">
        <f t="shared" si="336"/>
        <v>20</v>
      </c>
      <c r="J120" s="25">
        <f>SUM(J116:J118)</f>
        <v>0</v>
      </c>
      <c r="K120" s="21"/>
      <c r="L120" s="21"/>
      <c r="M120" s="21"/>
      <c r="N120" s="21"/>
      <c r="O120" s="21"/>
      <c r="P120" s="22">
        <f>P118/F120</f>
        <v>0.5957446809</v>
      </c>
      <c r="Q120" s="21">
        <f t="shared" ref="Q120:S120" si="337">M119+Q119</f>
        <v>0</v>
      </c>
      <c r="R120" s="21">
        <f t="shared" si="337"/>
        <v>0</v>
      </c>
      <c r="S120" s="21">
        <f t="shared" si="337"/>
        <v>0</v>
      </c>
      <c r="T120" s="22">
        <f>T118/F120</f>
        <v>0.5957446809</v>
      </c>
      <c r="U120" s="21">
        <f t="shared" ref="U120:W120" si="338">Q120+U119</f>
        <v>0</v>
      </c>
      <c r="V120" s="21">
        <f t="shared" si="338"/>
        <v>0</v>
      </c>
      <c r="W120" s="21">
        <f t="shared" si="338"/>
        <v>0</v>
      </c>
      <c r="X120" s="22">
        <f>X118/F120</f>
        <v>0.5957446809</v>
      </c>
      <c r="Y120" s="21"/>
      <c r="Z120" s="21">
        <f t="shared" ref="Z120:AA120" si="339">U120+Z119</f>
        <v>0</v>
      </c>
      <c r="AA120" s="21">
        <f t="shared" si="339"/>
        <v>0</v>
      </c>
      <c r="AB120" s="22">
        <f>AB118/F120</f>
        <v>0.5957446809</v>
      </c>
      <c r="AC120" s="21"/>
      <c r="AD120" s="21">
        <f t="shared" ref="AD120:AE120" si="340">Z120+AD119</f>
        <v>0</v>
      </c>
      <c r="AE120" s="21">
        <f t="shared" si="340"/>
        <v>0</v>
      </c>
      <c r="AF120" s="93">
        <f>AF118/F120</f>
        <v>0.5957446809</v>
      </c>
      <c r="AG120" s="21"/>
      <c r="AH120" s="21">
        <f t="shared" ref="AH120:AI120" si="341">AD120+AH119</f>
        <v>0</v>
      </c>
      <c r="AI120" s="21">
        <f t="shared" si="341"/>
        <v>0</v>
      </c>
      <c r="AJ120" s="22">
        <f>AJ118/F120</f>
        <v>0.5957446809</v>
      </c>
      <c r="AK120" s="21"/>
      <c r="AL120" s="21">
        <f t="shared" ref="AL120:AM120" si="342">AH120+AL119</f>
        <v>0</v>
      </c>
      <c r="AM120" s="21">
        <f t="shared" si="342"/>
        <v>0</v>
      </c>
      <c r="AN120" s="22">
        <f>AN118/F120</f>
        <v>0.5957446809</v>
      </c>
      <c r="AO120" s="21"/>
      <c r="AP120" s="21">
        <f t="shared" ref="AP120:AQ120" si="343">AL120+AP119</f>
        <v>0</v>
      </c>
      <c r="AQ120" s="21">
        <f t="shared" si="343"/>
        <v>0</v>
      </c>
      <c r="AR120" s="22">
        <f>AR118/F120</f>
        <v>0.5957446809</v>
      </c>
      <c r="AS120" s="21"/>
      <c r="AT120" s="21">
        <f t="shared" ref="AT120:AU120" si="344">AP120+AT119</f>
        <v>0</v>
      </c>
      <c r="AU120" s="21">
        <f t="shared" si="344"/>
        <v>0</v>
      </c>
      <c r="AV120" s="22">
        <f>AV118/F120</f>
        <v>0.5957446809</v>
      </c>
      <c r="AW120" s="21"/>
      <c r="AX120" s="21">
        <f t="shared" ref="AX120:AY120" si="345">AT120+AX119</f>
        <v>0</v>
      </c>
      <c r="AY120" s="21">
        <f t="shared" si="345"/>
        <v>0</v>
      </c>
      <c r="AZ120" s="22">
        <f>AZ118/F120</f>
        <v>1</v>
      </c>
      <c r="BA120" s="22"/>
      <c r="BB120" s="21"/>
      <c r="BC120" s="21"/>
      <c r="BD120" s="22">
        <f>AZ120+BC118</f>
        <v>1</v>
      </c>
      <c r="BE120" s="22"/>
      <c r="BF120" s="21"/>
      <c r="BG120" s="21"/>
      <c r="BH120" s="22">
        <f>BD120+BGC118</f>
        <v>1</v>
      </c>
      <c r="BI120" s="26"/>
      <c r="BJ120" s="29"/>
      <c r="BK120" s="16"/>
      <c r="BL120" s="16"/>
    </row>
    <row r="121">
      <c r="A121" s="16"/>
      <c r="B121" s="16"/>
      <c r="C121" s="16"/>
      <c r="D121" s="16"/>
      <c r="E121" s="16"/>
      <c r="F121" s="16"/>
      <c r="G121" s="29"/>
      <c r="H121" s="31"/>
      <c r="I121" s="31"/>
      <c r="J121" s="31"/>
      <c r="K121" s="16"/>
      <c r="L121" s="16"/>
      <c r="M121" s="16"/>
      <c r="N121" s="16"/>
      <c r="O121" s="16"/>
      <c r="P121" s="29"/>
      <c r="Q121" s="16"/>
      <c r="R121" s="16"/>
      <c r="S121" s="16"/>
      <c r="T121" s="29"/>
      <c r="U121" s="16"/>
      <c r="V121" s="16"/>
      <c r="W121" s="16"/>
      <c r="X121" s="29"/>
      <c r="Y121" s="16"/>
      <c r="Z121" s="16"/>
      <c r="AA121" s="16"/>
      <c r="AB121" s="29"/>
      <c r="AC121" s="16"/>
      <c r="AD121" s="16"/>
      <c r="AE121" s="16"/>
      <c r="AF121" s="29"/>
      <c r="AG121" s="16"/>
      <c r="AH121" s="16"/>
      <c r="AI121" s="16"/>
      <c r="AJ121" s="29"/>
      <c r="AK121" s="16"/>
      <c r="AL121" s="16"/>
      <c r="AM121" s="16"/>
      <c r="AN121" s="29"/>
      <c r="AO121" s="16"/>
      <c r="AP121" s="16"/>
      <c r="AQ121" s="16"/>
      <c r="AR121" s="29"/>
      <c r="AS121" s="16"/>
      <c r="AT121" s="16"/>
      <c r="AU121" s="16"/>
      <c r="AV121" s="29"/>
      <c r="AW121" s="16"/>
      <c r="AX121" s="16"/>
      <c r="AY121" s="16"/>
      <c r="AZ121" s="29"/>
      <c r="BA121" s="91"/>
      <c r="BB121" s="91"/>
      <c r="BC121" s="91"/>
      <c r="BD121" s="91"/>
      <c r="BE121" s="22"/>
      <c r="BF121" s="91"/>
      <c r="BG121" s="91"/>
      <c r="BH121" s="91"/>
      <c r="BI121" s="16"/>
      <c r="BJ121" s="29"/>
      <c r="BK121" s="16"/>
      <c r="BL121" s="16"/>
    </row>
    <row r="122">
      <c r="A122" s="33" t="s">
        <v>118</v>
      </c>
      <c r="B122" s="21"/>
      <c r="C122" s="21"/>
      <c r="D122" s="21"/>
      <c r="E122" s="21"/>
      <c r="F122" s="21"/>
      <c r="G122" s="22"/>
      <c r="H122" s="25"/>
      <c r="I122" s="25"/>
      <c r="J122" s="25"/>
      <c r="K122" s="21">
        <v>2025.0</v>
      </c>
      <c r="L122" s="21">
        <v>2025.0</v>
      </c>
      <c r="M122" s="21"/>
      <c r="N122" s="21"/>
      <c r="O122" s="21"/>
      <c r="P122" s="25" t="str">
        <f>+H122</f>
        <v/>
      </c>
      <c r="Q122" s="21"/>
      <c r="R122" s="21"/>
      <c r="S122" s="21"/>
      <c r="T122" s="25">
        <f t="shared" ref="T122:T125" si="346">SUM(P122:S122)</f>
        <v>0</v>
      </c>
      <c r="U122" s="21"/>
      <c r="V122" s="21"/>
      <c r="W122" s="21"/>
      <c r="X122" s="25">
        <f t="shared" ref="X122:X125" si="347">SUM(T122:W122)</f>
        <v>0</v>
      </c>
      <c r="Y122" s="21"/>
      <c r="Z122" s="21"/>
      <c r="AA122" s="21"/>
      <c r="AB122" s="25">
        <f t="shared" ref="AB122:AB125" si="348">SUM(X122:AA122)</f>
        <v>0</v>
      </c>
      <c r="AC122" s="21"/>
      <c r="AD122" s="21"/>
      <c r="AE122" s="21"/>
      <c r="AF122" s="25">
        <f t="shared" ref="AF122:AF125" si="349">SUM(AB122:AE122)</f>
        <v>0</v>
      </c>
      <c r="AG122" s="21"/>
      <c r="AH122" s="21"/>
      <c r="AI122" s="21"/>
      <c r="AJ122" s="25">
        <f t="shared" ref="AJ122:AJ125" si="350">SUM(AF122:AI122)</f>
        <v>0</v>
      </c>
      <c r="AK122" s="21"/>
      <c r="AL122" s="21"/>
      <c r="AM122" s="21"/>
      <c r="AN122" s="25">
        <f t="shared" ref="AN122:AN125" si="351">SUM(AJ122:AM122)</f>
        <v>0</v>
      </c>
      <c r="AO122" s="21"/>
      <c r="AP122" s="21"/>
      <c r="AQ122" s="21"/>
      <c r="AR122" s="25">
        <f t="shared" ref="AR122:AR125" si="352">SUM(AN122:AQ122)</f>
        <v>0</v>
      </c>
      <c r="AS122" s="21"/>
      <c r="AT122" s="21"/>
      <c r="AU122" s="21"/>
      <c r="AV122" s="25">
        <f t="shared" ref="AV122:AV125" si="353">SUM(AR122:AU122)</f>
        <v>0</v>
      </c>
      <c r="AW122" s="21"/>
      <c r="AX122" s="21"/>
      <c r="AY122" s="21"/>
      <c r="AZ122" s="25">
        <f t="shared" ref="AZ122:AZ125" si="354">SUM(AV122:AY122)</f>
        <v>0</v>
      </c>
      <c r="BA122" s="21"/>
      <c r="BB122" s="21"/>
      <c r="BC122" s="21"/>
      <c r="BD122" s="21"/>
      <c r="BE122" s="21"/>
      <c r="BF122" s="21"/>
      <c r="BG122" s="91"/>
      <c r="BH122" s="91"/>
    </row>
    <row r="123">
      <c r="A123" s="21"/>
      <c r="B123" s="94" t="s">
        <v>119</v>
      </c>
      <c r="C123" s="21">
        <v>1.0</v>
      </c>
      <c r="D123" s="49">
        <v>738.0</v>
      </c>
      <c r="E123" s="21">
        <v>43.0</v>
      </c>
      <c r="F123" s="21">
        <f t="shared" ref="F123:F125" si="355">E123+1</f>
        <v>44</v>
      </c>
      <c r="G123" s="22">
        <f t="shared" ref="G123:G125" si="356">$BA123/F123</f>
        <v>0</v>
      </c>
      <c r="H123" s="25">
        <v>13.0</v>
      </c>
      <c r="I123" s="25">
        <f t="shared" ref="I123:I125" si="357">+H123+J123</f>
        <v>14</v>
      </c>
      <c r="J123" s="25">
        <v>1.0</v>
      </c>
      <c r="K123" s="21">
        <v>2025.0</v>
      </c>
      <c r="L123" s="21">
        <v>2025.0</v>
      </c>
      <c r="M123" s="21"/>
      <c r="N123" s="21"/>
      <c r="O123" s="21"/>
      <c r="P123" s="25">
        <f t="shared" ref="P123:P125" si="358">H123+SUM(M123:O123)</f>
        <v>13</v>
      </c>
      <c r="Q123" s="21"/>
      <c r="R123" s="21">
        <v>29.0</v>
      </c>
      <c r="S123" s="21"/>
      <c r="T123" s="25">
        <f t="shared" si="346"/>
        <v>42</v>
      </c>
      <c r="U123" s="21"/>
      <c r="V123" s="21"/>
      <c r="W123" s="21"/>
      <c r="X123" s="25">
        <f t="shared" si="347"/>
        <v>42</v>
      </c>
      <c r="Y123" s="21"/>
      <c r="Z123" s="21"/>
      <c r="AA123" s="21"/>
      <c r="AB123" s="25">
        <f t="shared" si="348"/>
        <v>42</v>
      </c>
      <c r="AC123" s="21"/>
      <c r="AD123" s="21"/>
      <c r="AE123" s="21"/>
      <c r="AF123" s="25">
        <f t="shared" si="349"/>
        <v>42</v>
      </c>
      <c r="AG123" s="21"/>
      <c r="AH123" s="21"/>
      <c r="AI123" s="21"/>
      <c r="AJ123" s="25">
        <f t="shared" si="350"/>
        <v>42</v>
      </c>
      <c r="AK123" s="21"/>
      <c r="AL123" s="21"/>
      <c r="AM123" s="21"/>
      <c r="AN123" s="25">
        <f t="shared" si="351"/>
        <v>42</v>
      </c>
      <c r="AO123" s="21"/>
      <c r="AP123" s="21"/>
      <c r="AQ123" s="21"/>
      <c r="AR123" s="25">
        <f t="shared" si="352"/>
        <v>42</v>
      </c>
      <c r="AS123" s="21"/>
      <c r="AT123" s="21"/>
      <c r="AU123" s="21"/>
      <c r="AV123" s="25">
        <f t="shared" si="353"/>
        <v>42</v>
      </c>
      <c r="AW123" s="21"/>
      <c r="AX123" s="21"/>
      <c r="AY123" s="21"/>
      <c r="AZ123" s="25">
        <f t="shared" si="354"/>
        <v>42</v>
      </c>
      <c r="BA123" s="21"/>
      <c r="BB123" s="21"/>
      <c r="BC123" s="21"/>
      <c r="BD123" s="25">
        <f t="shared" ref="BD123:BD127" si="359">SUM(AZ123:BC123)</f>
        <v>42</v>
      </c>
      <c r="BE123" s="21"/>
      <c r="BF123" s="21"/>
      <c r="BG123" s="91"/>
      <c r="BH123" s="95">
        <f t="shared" ref="BH123:BH127" si="360">SUM(BD123:BG123)</f>
        <v>42</v>
      </c>
    </row>
    <row r="124">
      <c r="A124" s="24"/>
      <c r="B124" s="24" t="s">
        <v>120</v>
      </c>
      <c r="C124" s="24">
        <v>6.0</v>
      </c>
      <c r="D124" s="24"/>
      <c r="E124" s="24">
        <v>26.0</v>
      </c>
      <c r="F124" s="21">
        <f t="shared" si="355"/>
        <v>27</v>
      </c>
      <c r="G124" s="22">
        <f t="shared" si="356"/>
        <v>0</v>
      </c>
      <c r="H124" s="23">
        <v>19.0</v>
      </c>
      <c r="I124" s="25">
        <f t="shared" si="357"/>
        <v>19</v>
      </c>
      <c r="J124" s="23"/>
      <c r="K124" s="21">
        <v>2025.0</v>
      </c>
      <c r="L124" s="21">
        <v>2025.0</v>
      </c>
      <c r="M124" s="21"/>
      <c r="N124" s="21">
        <v>2.0</v>
      </c>
      <c r="O124" s="21"/>
      <c r="P124" s="25">
        <f t="shared" si="358"/>
        <v>21</v>
      </c>
      <c r="Q124" s="21"/>
      <c r="R124" s="21">
        <v>6.0</v>
      </c>
      <c r="S124" s="21"/>
      <c r="T124" s="25">
        <f t="shared" si="346"/>
        <v>27</v>
      </c>
      <c r="U124" s="21"/>
      <c r="V124" s="21"/>
      <c r="W124" s="21"/>
      <c r="X124" s="25">
        <f t="shared" si="347"/>
        <v>27</v>
      </c>
      <c r="Y124" s="21"/>
      <c r="Z124" s="21"/>
      <c r="AA124" s="21"/>
      <c r="AB124" s="25">
        <f t="shared" si="348"/>
        <v>27</v>
      </c>
      <c r="AC124" s="21"/>
      <c r="AD124" s="21"/>
      <c r="AE124" s="21"/>
      <c r="AF124" s="25">
        <f t="shared" si="349"/>
        <v>27</v>
      </c>
      <c r="AG124" s="21"/>
      <c r="AH124" s="21"/>
      <c r="AI124" s="21"/>
      <c r="AJ124" s="25">
        <f t="shared" si="350"/>
        <v>27</v>
      </c>
      <c r="AK124" s="21"/>
      <c r="AL124" s="21"/>
      <c r="AM124" s="21"/>
      <c r="AN124" s="25">
        <f t="shared" si="351"/>
        <v>27</v>
      </c>
      <c r="AO124" s="21"/>
      <c r="AP124" s="96"/>
      <c r="AQ124" s="21"/>
      <c r="AR124" s="25">
        <f t="shared" si="352"/>
        <v>27</v>
      </c>
      <c r="AS124" s="96"/>
      <c r="AT124" s="21"/>
      <c r="AU124" s="21"/>
      <c r="AV124" s="25">
        <f t="shared" si="353"/>
        <v>27</v>
      </c>
      <c r="AW124" s="21"/>
      <c r="AX124" s="21"/>
      <c r="AY124" s="21"/>
      <c r="AZ124" s="25">
        <f t="shared" si="354"/>
        <v>27</v>
      </c>
      <c r="BA124" s="21"/>
      <c r="BB124" s="21"/>
      <c r="BC124" s="21"/>
      <c r="BD124" s="25">
        <f t="shared" si="359"/>
        <v>27</v>
      </c>
      <c r="BE124" s="21"/>
      <c r="BF124" s="21"/>
      <c r="BG124" s="91"/>
      <c r="BH124" s="95">
        <f t="shared" si="360"/>
        <v>27</v>
      </c>
    </row>
    <row r="125">
      <c r="A125" s="21"/>
      <c r="B125" s="24" t="s">
        <v>121</v>
      </c>
      <c r="C125" s="24">
        <v>69.0</v>
      </c>
      <c r="D125" s="49">
        <v>775.0</v>
      </c>
      <c r="E125" s="21">
        <v>27.0</v>
      </c>
      <c r="F125" s="21">
        <f t="shared" si="355"/>
        <v>28</v>
      </c>
      <c r="G125" s="22">
        <f t="shared" si="356"/>
        <v>0</v>
      </c>
      <c r="H125" s="25">
        <v>23.0</v>
      </c>
      <c r="I125" s="25">
        <f t="shared" si="357"/>
        <v>23</v>
      </c>
      <c r="J125" s="25"/>
      <c r="K125" s="21">
        <v>2027.0</v>
      </c>
      <c r="L125" s="21">
        <v>2025.0</v>
      </c>
      <c r="M125" s="21"/>
      <c r="N125" s="21"/>
      <c r="O125" s="21"/>
      <c r="P125" s="25">
        <f t="shared" si="358"/>
        <v>23</v>
      </c>
      <c r="Q125" s="21"/>
      <c r="R125" s="21"/>
      <c r="S125" s="21"/>
      <c r="T125" s="25">
        <f t="shared" si="346"/>
        <v>23</v>
      </c>
      <c r="U125" s="21"/>
      <c r="V125" s="21"/>
      <c r="W125" s="21"/>
      <c r="X125" s="25">
        <f t="shared" si="347"/>
        <v>23</v>
      </c>
      <c r="Y125" s="21"/>
      <c r="Z125" s="21"/>
      <c r="AA125" s="21"/>
      <c r="AB125" s="25">
        <f t="shared" si="348"/>
        <v>23</v>
      </c>
      <c r="AC125" s="21"/>
      <c r="AD125" s="21"/>
      <c r="AE125" s="21"/>
      <c r="AF125" s="25">
        <f t="shared" si="349"/>
        <v>23</v>
      </c>
      <c r="AG125" s="21"/>
      <c r="AH125" s="21"/>
      <c r="AI125" s="21"/>
      <c r="AJ125" s="25">
        <f t="shared" si="350"/>
        <v>23</v>
      </c>
      <c r="AK125" s="21"/>
      <c r="AL125" s="21"/>
      <c r="AM125" s="21"/>
      <c r="AN125" s="25">
        <f t="shared" si="351"/>
        <v>23</v>
      </c>
      <c r="AO125" s="21"/>
      <c r="AP125" s="21"/>
      <c r="AQ125" s="21"/>
      <c r="AR125" s="25">
        <f t="shared" si="352"/>
        <v>23</v>
      </c>
      <c r="AS125" s="21"/>
      <c r="AT125" s="21"/>
      <c r="AU125" s="21"/>
      <c r="AV125" s="25">
        <f t="shared" si="353"/>
        <v>23</v>
      </c>
      <c r="AW125" s="21"/>
      <c r="AX125" s="21"/>
      <c r="AY125" s="21"/>
      <c r="AZ125" s="25">
        <f t="shared" si="354"/>
        <v>23</v>
      </c>
      <c r="BA125" s="21"/>
      <c r="BB125" s="21"/>
      <c r="BC125" s="21"/>
      <c r="BD125" s="25">
        <f t="shared" si="359"/>
        <v>23</v>
      </c>
      <c r="BE125" s="21"/>
      <c r="BF125" s="21"/>
      <c r="BG125" s="91"/>
      <c r="BH125" s="95">
        <f t="shared" si="360"/>
        <v>23</v>
      </c>
    </row>
    <row r="126">
      <c r="A126" s="21"/>
      <c r="B126" s="16"/>
      <c r="C126" s="16"/>
      <c r="D126" s="21"/>
      <c r="E126" s="21"/>
      <c r="F126" s="21"/>
      <c r="G126" s="21"/>
      <c r="H126" s="25"/>
      <c r="I126" s="25"/>
      <c r="J126" s="25"/>
      <c r="K126" s="21"/>
      <c r="L126" s="21"/>
      <c r="M126" s="21">
        <f t="shared" ref="M126:O126" si="361">SUM(M123:M125)</f>
        <v>0</v>
      </c>
      <c r="N126" s="21">
        <f t="shared" si="361"/>
        <v>2</v>
      </c>
      <c r="O126" s="21">
        <f t="shared" si="361"/>
        <v>0</v>
      </c>
      <c r="P126" s="25">
        <f>SUM(P122:P125)</f>
        <v>57</v>
      </c>
      <c r="Q126" s="21">
        <f t="shared" ref="Q126:S126" si="362">SUM(Q123:Q125)</f>
        <v>0</v>
      </c>
      <c r="R126" s="21">
        <f t="shared" si="362"/>
        <v>35</v>
      </c>
      <c r="S126" s="21">
        <f t="shared" si="362"/>
        <v>0</v>
      </c>
      <c r="T126" s="25">
        <f>SUM(T122:T125)</f>
        <v>92</v>
      </c>
      <c r="U126" s="21">
        <f t="shared" ref="U126:W126" si="363">SUM(U123:U125)</f>
        <v>0</v>
      </c>
      <c r="V126" s="21">
        <f t="shared" si="363"/>
        <v>0</v>
      </c>
      <c r="W126" s="21">
        <f t="shared" si="363"/>
        <v>0</v>
      </c>
      <c r="X126" s="25">
        <f>SUM(X122:X125)</f>
        <v>92</v>
      </c>
      <c r="Y126" s="21">
        <f t="shared" ref="Y126:AA126" si="364">SUM(Y123:Y125)</f>
        <v>0</v>
      </c>
      <c r="Z126" s="21">
        <f t="shared" si="364"/>
        <v>0</v>
      </c>
      <c r="AA126" s="21">
        <f t="shared" si="364"/>
        <v>0</v>
      </c>
      <c r="AB126" s="25">
        <f>SUM(AB122:AB125)</f>
        <v>92</v>
      </c>
      <c r="AC126" s="21">
        <f t="shared" ref="AC126:AE126" si="365">SUM(AC123:AC125)</f>
        <v>0</v>
      </c>
      <c r="AD126" s="21">
        <f t="shared" si="365"/>
        <v>0</v>
      </c>
      <c r="AE126" s="21">
        <f t="shared" si="365"/>
        <v>0</v>
      </c>
      <c r="AF126" s="25">
        <f>SUM(AF122:AF125)</f>
        <v>92</v>
      </c>
      <c r="AG126" s="21">
        <f t="shared" ref="AG126:AZ126" si="366">SUM(AG123:AG125)</f>
        <v>0</v>
      </c>
      <c r="AH126" s="21">
        <f t="shared" si="366"/>
        <v>0</v>
      </c>
      <c r="AI126" s="21">
        <f t="shared" si="366"/>
        <v>0</v>
      </c>
      <c r="AJ126" s="25">
        <f t="shared" si="366"/>
        <v>92</v>
      </c>
      <c r="AK126" s="21">
        <f t="shared" si="366"/>
        <v>0</v>
      </c>
      <c r="AL126" s="21">
        <f t="shared" si="366"/>
        <v>0</v>
      </c>
      <c r="AM126" s="21">
        <f t="shared" si="366"/>
        <v>0</v>
      </c>
      <c r="AN126" s="25">
        <f t="shared" si="366"/>
        <v>92</v>
      </c>
      <c r="AO126" s="21">
        <f t="shared" si="366"/>
        <v>0</v>
      </c>
      <c r="AP126" s="21">
        <f t="shared" si="366"/>
        <v>0</v>
      </c>
      <c r="AQ126" s="21">
        <f t="shared" si="366"/>
        <v>0</v>
      </c>
      <c r="AR126" s="25">
        <f t="shared" si="366"/>
        <v>92</v>
      </c>
      <c r="AS126" s="21">
        <f t="shared" si="366"/>
        <v>0</v>
      </c>
      <c r="AT126" s="21">
        <f t="shared" si="366"/>
        <v>0</v>
      </c>
      <c r="AU126" s="21">
        <f t="shared" si="366"/>
        <v>0</v>
      </c>
      <c r="AV126" s="25">
        <f t="shared" si="366"/>
        <v>92</v>
      </c>
      <c r="AW126" s="21">
        <f t="shared" si="366"/>
        <v>0</v>
      </c>
      <c r="AX126" s="21">
        <f t="shared" si="366"/>
        <v>0</v>
      </c>
      <c r="AY126" s="21">
        <f t="shared" si="366"/>
        <v>0</v>
      </c>
      <c r="AZ126" s="25">
        <f t="shared" si="366"/>
        <v>92</v>
      </c>
      <c r="BA126" s="21"/>
      <c r="BB126" s="21"/>
      <c r="BC126" s="21"/>
      <c r="BD126" s="25">
        <f t="shared" si="359"/>
        <v>92</v>
      </c>
      <c r="BE126" s="21"/>
      <c r="BF126" s="21"/>
      <c r="BG126" s="91"/>
      <c r="BH126" s="95">
        <f t="shared" si="360"/>
        <v>92</v>
      </c>
    </row>
    <row r="127" ht="15.75" customHeight="1">
      <c r="A127" s="24"/>
      <c r="B127" s="21" t="s">
        <v>35</v>
      </c>
      <c r="C127" s="21">
        <f>COUNT(C123:C125)</f>
        <v>3</v>
      </c>
      <c r="D127" s="24"/>
      <c r="E127" s="21">
        <f>SUM(E122:E125)</f>
        <v>96</v>
      </c>
      <c r="F127" s="21">
        <f>SUM(E122:E125)+1</f>
        <v>97</v>
      </c>
      <c r="G127" s="22">
        <f>$BA126/F127</f>
        <v>0</v>
      </c>
      <c r="H127" s="23">
        <f t="shared" ref="H127:J127" si="367">SUM(H122:H125)</f>
        <v>55</v>
      </c>
      <c r="I127" s="23">
        <f t="shared" si="367"/>
        <v>56</v>
      </c>
      <c r="J127" s="23">
        <f t="shared" si="367"/>
        <v>1</v>
      </c>
      <c r="K127" s="24"/>
      <c r="L127" s="24"/>
      <c r="M127" s="21">
        <f t="shared" ref="M127:O127" si="368">SUM(M123:M125)</f>
        <v>0</v>
      </c>
      <c r="N127" s="21">
        <f t="shared" si="368"/>
        <v>2</v>
      </c>
      <c r="O127" s="21">
        <f t="shared" si="368"/>
        <v>0</v>
      </c>
      <c r="P127" s="22">
        <f>P126/F127</f>
        <v>0.587628866</v>
      </c>
      <c r="Q127" s="21">
        <f t="shared" ref="Q127:S127" si="369">M126+Q126</f>
        <v>0</v>
      </c>
      <c r="R127" s="21">
        <f t="shared" si="369"/>
        <v>37</v>
      </c>
      <c r="S127" s="21">
        <f t="shared" si="369"/>
        <v>0</v>
      </c>
      <c r="T127" s="22">
        <f>T126/F127</f>
        <v>0.9484536082</v>
      </c>
      <c r="U127" s="21">
        <f t="shared" ref="U127:W127" si="370">Q127+U126</f>
        <v>0</v>
      </c>
      <c r="V127" s="21">
        <f t="shared" si="370"/>
        <v>37</v>
      </c>
      <c r="W127" s="21">
        <f t="shared" si="370"/>
        <v>0</v>
      </c>
      <c r="X127" s="22">
        <f>X126/F127</f>
        <v>0.9484536082</v>
      </c>
      <c r="Y127" s="21"/>
      <c r="Z127" s="21">
        <f t="shared" ref="Z127:AA127" si="371">U127+Z126</f>
        <v>0</v>
      </c>
      <c r="AA127" s="21">
        <f t="shared" si="371"/>
        <v>37</v>
      </c>
      <c r="AB127" s="22">
        <f>AB126/F127</f>
        <v>0.9484536082</v>
      </c>
      <c r="AC127" s="21"/>
      <c r="AD127" s="21">
        <f t="shared" ref="AD127:AE127" si="372">Z127+AD126</f>
        <v>0</v>
      </c>
      <c r="AE127" s="21">
        <f t="shared" si="372"/>
        <v>37</v>
      </c>
      <c r="AF127" s="22">
        <f>AF126/F127</f>
        <v>0.9484536082</v>
      </c>
      <c r="AG127" s="21"/>
      <c r="AH127" s="21">
        <f t="shared" ref="AH127:AI127" si="373">AD127+AH126</f>
        <v>0</v>
      </c>
      <c r="AI127" s="21">
        <f t="shared" si="373"/>
        <v>37</v>
      </c>
      <c r="AJ127" s="22">
        <f>AJ126/F127</f>
        <v>0.9484536082</v>
      </c>
      <c r="AK127" s="21"/>
      <c r="AL127" s="21">
        <f t="shared" ref="AL127:AM127" si="374">SUM(AH127+AL123)</f>
        <v>0</v>
      </c>
      <c r="AM127" s="21">
        <f t="shared" si="374"/>
        <v>37</v>
      </c>
      <c r="AN127" s="22">
        <f>AN126/F127</f>
        <v>0.9484536082</v>
      </c>
      <c r="AO127" s="21"/>
      <c r="AP127" s="21">
        <f t="shared" ref="AP127:AQ127" si="375">SUM(AL127+AP123)</f>
        <v>0</v>
      </c>
      <c r="AQ127" s="21">
        <f t="shared" si="375"/>
        <v>37</v>
      </c>
      <c r="AR127" s="22">
        <f>AR126/F127</f>
        <v>0.9484536082</v>
      </c>
      <c r="AS127" s="21"/>
      <c r="AT127" s="21">
        <f t="shared" ref="AT127:AU127" si="376">SUM(AP127+AT123)</f>
        <v>0</v>
      </c>
      <c r="AU127" s="21">
        <f t="shared" si="376"/>
        <v>37</v>
      </c>
      <c r="AV127" s="22">
        <f>AV126/F127</f>
        <v>0.9484536082</v>
      </c>
      <c r="AW127" s="21"/>
      <c r="AX127" s="21">
        <f t="shared" ref="AX127:AY127" si="377">SUM(AT127+AX123)</f>
        <v>0</v>
      </c>
      <c r="AY127" s="21">
        <f t="shared" si="377"/>
        <v>37</v>
      </c>
      <c r="AZ127" s="22">
        <f>AZ126/F127</f>
        <v>0.9484536082</v>
      </c>
      <c r="BA127" s="22"/>
      <c r="BB127" s="21"/>
      <c r="BC127" s="21"/>
      <c r="BD127" s="22">
        <f t="shared" si="359"/>
        <v>0.9484536082</v>
      </c>
      <c r="BE127" s="21"/>
      <c r="BF127" s="22"/>
      <c r="BG127" s="91"/>
      <c r="BH127" s="97">
        <f t="shared" si="360"/>
        <v>0.9484536082</v>
      </c>
    </row>
    <row r="128" ht="15.75" customHeight="1">
      <c r="A128" s="24"/>
      <c r="B128" s="24"/>
      <c r="C128" s="24"/>
      <c r="D128" s="24"/>
      <c r="E128" s="24"/>
      <c r="F128" s="24"/>
      <c r="G128" s="24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1"/>
      <c r="BB128" s="21"/>
      <c r="BC128" s="21"/>
      <c r="BD128" s="21"/>
      <c r="BE128" s="21"/>
      <c r="BF128" s="21"/>
      <c r="BG128" s="21"/>
      <c r="BH128" s="21"/>
      <c r="BI128" s="26"/>
      <c r="BJ128" s="26"/>
      <c r="BK128" s="26"/>
      <c r="BL128" s="26"/>
      <c r="BM128" s="26"/>
      <c r="BN128" s="26"/>
      <c r="BO128" s="26"/>
      <c r="BP128" s="26"/>
      <c r="BQ128" s="26"/>
      <c r="BR128" s="16"/>
      <c r="BS128" s="16"/>
    </row>
    <row r="129">
      <c r="A129" s="27" t="s">
        <v>122</v>
      </c>
      <c r="B129" s="24"/>
      <c r="C129" s="24"/>
      <c r="D129" s="24"/>
      <c r="E129" s="24"/>
      <c r="F129" s="24"/>
      <c r="G129" s="28"/>
      <c r="H129" s="23"/>
      <c r="I129" s="23"/>
      <c r="J129" s="23"/>
      <c r="K129" s="24">
        <v>2027.0</v>
      </c>
      <c r="L129" s="24">
        <v>2025.0</v>
      </c>
      <c r="M129" s="24"/>
      <c r="N129" s="24"/>
      <c r="O129" s="24"/>
      <c r="P129" s="23" t="str">
        <f>+H129</f>
        <v/>
      </c>
      <c r="Q129" s="24"/>
      <c r="R129" s="24"/>
      <c r="S129" s="24"/>
      <c r="T129" s="25">
        <f t="shared" ref="T129:T134" si="378">SUM(P129:S129)</f>
        <v>0</v>
      </c>
      <c r="U129" s="24"/>
      <c r="V129" s="24"/>
      <c r="W129" s="24"/>
      <c r="X129" s="25">
        <f t="shared" ref="X129:X134" si="379">SUM(T129:W129)</f>
        <v>0</v>
      </c>
      <c r="Y129" s="24"/>
      <c r="Z129" s="24"/>
      <c r="AA129" s="24"/>
      <c r="AB129" s="25">
        <f t="shared" ref="AB129:AB134" si="380">SUM(X129:AA129)</f>
        <v>0</v>
      </c>
      <c r="AC129" s="24"/>
      <c r="AD129" s="24"/>
      <c r="AE129" s="24"/>
      <c r="AF129" s="25">
        <f t="shared" ref="AF129:AF134" si="381">SUM(AB129:AE129)</f>
        <v>0</v>
      </c>
      <c r="AG129" s="24"/>
      <c r="AH129" s="24"/>
      <c r="AI129" s="24"/>
      <c r="AJ129" s="25">
        <f t="shared" ref="AJ129:AJ134" si="382">SUM(AF129:AI129)</f>
        <v>0</v>
      </c>
      <c r="AK129" s="24"/>
      <c r="AL129" s="24"/>
      <c r="AM129" s="24"/>
      <c r="AN129" s="25">
        <f t="shared" ref="AN129:AN134" si="383">SUM(AJ129:AM129)</f>
        <v>0</v>
      </c>
      <c r="AO129" s="24"/>
      <c r="AP129" s="24"/>
      <c r="AQ129" s="24"/>
      <c r="AR129" s="25">
        <f t="shared" ref="AR129:AR134" si="384">SUM(AN129:AQ129)</f>
        <v>0</v>
      </c>
      <c r="AS129" s="24"/>
      <c r="AT129" s="24"/>
      <c r="AU129" s="24"/>
      <c r="AV129" s="25">
        <f t="shared" ref="AV129:AV134" si="385">SUM(AR129:AU129)</f>
        <v>0</v>
      </c>
      <c r="AW129" s="24"/>
      <c r="AX129" s="24"/>
      <c r="AY129" s="24"/>
      <c r="AZ129" s="25">
        <f t="shared" ref="AZ129:AZ134" si="386">SUM(AV129:AY129)</f>
        <v>0</v>
      </c>
      <c r="BA129" s="24"/>
      <c r="BB129" s="24"/>
      <c r="BC129" s="24"/>
      <c r="BD129" s="25">
        <f t="shared" ref="BD129:BD134" si="387">SUM(AZ129:BC129)</f>
        <v>0</v>
      </c>
      <c r="BE129" s="24"/>
      <c r="BF129" s="24"/>
      <c r="BG129" s="24"/>
      <c r="BH129" s="25">
        <f t="shared" ref="BH129:BH134" si="388">SUM(BD129:BG129)</f>
        <v>0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49" t="s">
        <v>123</v>
      </c>
      <c r="C130" s="21">
        <v>2.0</v>
      </c>
      <c r="D130" s="49">
        <v>7026.0</v>
      </c>
      <c r="E130" s="21">
        <v>43.0</v>
      </c>
      <c r="F130" s="21">
        <f t="shared" ref="F130:F134" si="389">E130+1</f>
        <v>44</v>
      </c>
      <c r="G130" s="28">
        <f t="shared" ref="G130:G134" si="390">$BH130/F130</f>
        <v>1.068181818</v>
      </c>
      <c r="H130" s="23">
        <v>6.0</v>
      </c>
      <c r="I130" s="23">
        <f t="shared" ref="I130:I134" si="391">+H130+J130</f>
        <v>7</v>
      </c>
      <c r="J130" s="55">
        <v>1.0</v>
      </c>
      <c r="K130" s="24">
        <v>2027.0</v>
      </c>
      <c r="L130" s="24">
        <v>2025.0</v>
      </c>
      <c r="M130" s="18">
        <v>1.0</v>
      </c>
      <c r="N130" s="18">
        <v>22.0</v>
      </c>
      <c r="O130" s="21"/>
      <c r="P130" s="25">
        <f t="shared" ref="P130:P134" si="392">H130+SUM(M130:O130)</f>
        <v>29</v>
      </c>
      <c r="Q130" s="21"/>
      <c r="R130" s="21"/>
      <c r="S130" s="21"/>
      <c r="T130" s="25">
        <f t="shared" si="378"/>
        <v>29</v>
      </c>
      <c r="U130" s="18"/>
      <c r="V130" s="18"/>
      <c r="W130" s="18"/>
      <c r="X130" s="25">
        <f t="shared" si="379"/>
        <v>29</v>
      </c>
      <c r="Y130" s="18">
        <v>1.0</v>
      </c>
      <c r="Z130" s="18">
        <v>7.0</v>
      </c>
      <c r="AA130" s="18">
        <v>1.0</v>
      </c>
      <c r="AB130" s="25">
        <f t="shared" si="380"/>
        <v>38</v>
      </c>
      <c r="AC130" s="18"/>
      <c r="AD130" s="18"/>
      <c r="AE130" s="18"/>
      <c r="AF130" s="25">
        <f t="shared" si="381"/>
        <v>38</v>
      </c>
      <c r="AG130" s="21"/>
      <c r="AH130" s="21"/>
      <c r="AI130" s="21"/>
      <c r="AJ130" s="25">
        <f t="shared" si="382"/>
        <v>38</v>
      </c>
      <c r="AK130" s="18">
        <v>3.0</v>
      </c>
      <c r="AL130" s="18">
        <v>1.0</v>
      </c>
      <c r="AM130" s="21"/>
      <c r="AN130" s="25">
        <f t="shared" si="383"/>
        <v>42</v>
      </c>
      <c r="AO130" s="21"/>
      <c r="AP130" s="18">
        <v>4.0</v>
      </c>
      <c r="AQ130" s="21"/>
      <c r="AR130" s="25">
        <f t="shared" si="384"/>
        <v>46</v>
      </c>
      <c r="AS130" s="21"/>
      <c r="AT130" s="21"/>
      <c r="AU130" s="21"/>
      <c r="AV130" s="25">
        <f t="shared" si="385"/>
        <v>46</v>
      </c>
      <c r="AW130" s="21"/>
      <c r="AX130" s="21"/>
      <c r="AY130" s="21"/>
      <c r="AZ130" s="25">
        <f t="shared" si="386"/>
        <v>46</v>
      </c>
      <c r="BA130" s="18">
        <v>1.0</v>
      </c>
      <c r="BB130" s="21"/>
      <c r="BC130" s="21"/>
      <c r="BD130" s="25">
        <f t="shared" si="387"/>
        <v>47</v>
      </c>
      <c r="BE130" s="21"/>
      <c r="BF130" s="21"/>
      <c r="BG130" s="21"/>
      <c r="BH130" s="25">
        <f t="shared" si="388"/>
        <v>47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3.0</v>
      </c>
      <c r="D131" s="49">
        <v>1650.0</v>
      </c>
      <c r="E131" s="49">
        <v>17.0</v>
      </c>
      <c r="F131" s="21">
        <f t="shared" si="389"/>
        <v>18</v>
      </c>
      <c r="G131" s="28">
        <f t="shared" si="390"/>
        <v>0.6666666667</v>
      </c>
      <c r="H131" s="23">
        <v>3.0</v>
      </c>
      <c r="I131" s="23">
        <f t="shared" si="391"/>
        <v>4</v>
      </c>
      <c r="J131" s="25">
        <v>1.0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3</v>
      </c>
      <c r="Q131" s="21"/>
      <c r="R131" s="21"/>
      <c r="S131" s="21"/>
      <c r="T131" s="25">
        <f t="shared" si="378"/>
        <v>3</v>
      </c>
      <c r="U131" s="21"/>
      <c r="V131" s="21"/>
      <c r="W131" s="21"/>
      <c r="X131" s="25">
        <f t="shared" si="379"/>
        <v>3</v>
      </c>
      <c r="Y131" s="21"/>
      <c r="Z131" s="21"/>
      <c r="AA131" s="21"/>
      <c r="AB131" s="25">
        <f t="shared" si="380"/>
        <v>3</v>
      </c>
      <c r="AC131" s="21"/>
      <c r="AD131" s="18"/>
      <c r="AE131" s="21"/>
      <c r="AF131" s="25">
        <f t="shared" si="381"/>
        <v>3</v>
      </c>
      <c r="AG131" s="21"/>
      <c r="AH131" s="21">
        <v>6.0</v>
      </c>
      <c r="AI131" s="21"/>
      <c r="AJ131" s="25">
        <f t="shared" si="382"/>
        <v>9</v>
      </c>
      <c r="AK131" s="21"/>
      <c r="AL131" s="21"/>
      <c r="AM131" s="21"/>
      <c r="AN131" s="25">
        <f t="shared" si="383"/>
        <v>9</v>
      </c>
      <c r="AO131" s="21"/>
      <c r="AP131" s="21"/>
      <c r="AQ131" s="21"/>
      <c r="AR131" s="25">
        <f t="shared" si="384"/>
        <v>9</v>
      </c>
      <c r="AS131" s="21"/>
      <c r="AT131" s="18">
        <v>3.0</v>
      </c>
      <c r="AU131" s="21"/>
      <c r="AV131" s="25">
        <f t="shared" si="385"/>
        <v>12</v>
      </c>
      <c r="AW131" s="21"/>
      <c r="AX131" s="21"/>
      <c r="AY131" s="21"/>
      <c r="AZ131" s="25">
        <f t="shared" si="386"/>
        <v>12</v>
      </c>
      <c r="BA131" s="21"/>
      <c r="BB131" s="21"/>
      <c r="BC131" s="21"/>
      <c r="BD131" s="25">
        <f t="shared" si="387"/>
        <v>12</v>
      </c>
      <c r="BE131" s="21"/>
      <c r="BF131" s="21"/>
      <c r="BG131" s="21"/>
      <c r="BH131" s="25">
        <f t="shared" si="388"/>
        <v>12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4.0</v>
      </c>
      <c r="D132" s="49"/>
      <c r="E132" s="49">
        <v>41.0</v>
      </c>
      <c r="F132" s="21">
        <f t="shared" si="389"/>
        <v>42</v>
      </c>
      <c r="G132" s="28">
        <f t="shared" si="390"/>
        <v>1</v>
      </c>
      <c r="H132" s="23">
        <v>12.0</v>
      </c>
      <c r="I132" s="25">
        <f t="shared" si="391"/>
        <v>14</v>
      </c>
      <c r="J132" s="55">
        <v>2.0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12</v>
      </c>
      <c r="Q132" s="21"/>
      <c r="R132" s="21"/>
      <c r="S132" s="21"/>
      <c r="T132" s="25">
        <f t="shared" si="378"/>
        <v>12</v>
      </c>
      <c r="U132" s="18"/>
      <c r="V132" s="18"/>
      <c r="W132" s="21"/>
      <c r="X132" s="25">
        <f t="shared" si="379"/>
        <v>12</v>
      </c>
      <c r="Y132" s="18">
        <v>3.0</v>
      </c>
      <c r="Z132" s="18">
        <v>10.0</v>
      </c>
      <c r="AA132" s="21"/>
      <c r="AB132" s="25">
        <f t="shared" si="380"/>
        <v>25</v>
      </c>
      <c r="AC132" s="21"/>
      <c r="AD132" s="18"/>
      <c r="AE132" s="21"/>
      <c r="AF132" s="25">
        <f t="shared" si="381"/>
        <v>25</v>
      </c>
      <c r="AG132" s="21"/>
      <c r="AH132" s="18">
        <v>5.0</v>
      </c>
      <c r="AI132" s="21"/>
      <c r="AJ132" s="25">
        <f t="shared" si="382"/>
        <v>30</v>
      </c>
      <c r="AK132" s="21"/>
      <c r="AL132" s="21"/>
      <c r="AM132" s="21"/>
      <c r="AN132" s="25">
        <f t="shared" si="383"/>
        <v>30</v>
      </c>
      <c r="AO132" s="21"/>
      <c r="AP132" s="18"/>
      <c r="AQ132" s="21"/>
      <c r="AR132" s="25">
        <f t="shared" si="384"/>
        <v>30</v>
      </c>
      <c r="AS132" s="21"/>
      <c r="AT132" s="18">
        <v>12.0</v>
      </c>
      <c r="AU132" s="18"/>
      <c r="AV132" s="25">
        <f t="shared" si="385"/>
        <v>42</v>
      </c>
      <c r="AW132" s="21"/>
      <c r="AX132" s="21"/>
      <c r="AY132" s="21"/>
      <c r="AZ132" s="25">
        <f t="shared" si="386"/>
        <v>42</v>
      </c>
      <c r="BA132" s="21"/>
      <c r="BB132" s="21"/>
      <c r="BC132" s="21"/>
      <c r="BD132" s="25">
        <f t="shared" si="387"/>
        <v>42</v>
      </c>
      <c r="BE132" s="21"/>
      <c r="BF132" s="21"/>
      <c r="BG132" s="21"/>
      <c r="BH132" s="25">
        <f t="shared" si="388"/>
        <v>42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126</v>
      </c>
      <c r="C133" s="21">
        <v>6.0</v>
      </c>
      <c r="D133" s="49">
        <v>8773.0</v>
      </c>
      <c r="E133" s="49">
        <v>29.0</v>
      </c>
      <c r="F133" s="21">
        <f t="shared" si="389"/>
        <v>30</v>
      </c>
      <c r="G133" s="28">
        <f t="shared" si="390"/>
        <v>1.033333333</v>
      </c>
      <c r="H133" s="23">
        <v>7.0</v>
      </c>
      <c r="I133" s="23">
        <f t="shared" si="391"/>
        <v>8</v>
      </c>
      <c r="J133" s="25">
        <v>1.0</v>
      </c>
      <c r="K133" s="24">
        <v>2027.0</v>
      </c>
      <c r="L133" s="24">
        <v>2025.0</v>
      </c>
      <c r="M133" s="21"/>
      <c r="N133" s="21"/>
      <c r="O133" s="21"/>
      <c r="P133" s="25">
        <f t="shared" si="392"/>
        <v>7</v>
      </c>
      <c r="Q133" s="21"/>
      <c r="R133" s="21"/>
      <c r="S133" s="21"/>
      <c r="T133" s="25">
        <f t="shared" si="378"/>
        <v>7</v>
      </c>
      <c r="U133" s="18"/>
      <c r="V133" s="18"/>
      <c r="W133" s="21"/>
      <c r="X133" s="25">
        <f t="shared" si="379"/>
        <v>7</v>
      </c>
      <c r="Y133" s="18">
        <v>1.0</v>
      </c>
      <c r="Z133" s="18">
        <v>17.0</v>
      </c>
      <c r="AA133" s="21"/>
      <c r="AB133" s="25">
        <f t="shared" si="380"/>
        <v>25</v>
      </c>
      <c r="AC133" s="21"/>
      <c r="AD133" s="21"/>
      <c r="AE133" s="21"/>
      <c r="AF133" s="25">
        <f t="shared" si="381"/>
        <v>25</v>
      </c>
      <c r="AG133" s="21"/>
      <c r="AH133" s="21"/>
      <c r="AI133" s="21"/>
      <c r="AJ133" s="25">
        <f t="shared" si="382"/>
        <v>25</v>
      </c>
      <c r="AK133" s="21"/>
      <c r="AL133" s="21"/>
      <c r="AM133" s="21"/>
      <c r="AN133" s="25">
        <f t="shared" si="383"/>
        <v>25</v>
      </c>
      <c r="AO133" s="21"/>
      <c r="AP133" s="18"/>
      <c r="AQ133" s="21"/>
      <c r="AR133" s="25">
        <f t="shared" si="384"/>
        <v>25</v>
      </c>
      <c r="AS133" s="21"/>
      <c r="AT133" s="18">
        <v>5.0</v>
      </c>
      <c r="AU133" s="18">
        <v>1.0</v>
      </c>
      <c r="AV133" s="25">
        <f t="shared" si="385"/>
        <v>31</v>
      </c>
      <c r="AW133" s="21"/>
      <c r="AX133" s="21"/>
      <c r="AY133" s="21"/>
      <c r="AZ133" s="25">
        <f t="shared" si="386"/>
        <v>31</v>
      </c>
      <c r="BA133" s="21"/>
      <c r="BB133" s="21"/>
      <c r="BC133" s="21"/>
      <c r="BD133" s="25">
        <f t="shared" si="387"/>
        <v>31</v>
      </c>
      <c r="BE133" s="21"/>
      <c r="BF133" s="21"/>
      <c r="BG133" s="21"/>
      <c r="BH133" s="25">
        <f t="shared" si="388"/>
        <v>31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127</v>
      </c>
      <c r="C134" s="21">
        <v>7.0</v>
      </c>
      <c r="D134" s="49" t="s">
        <v>73</v>
      </c>
      <c r="E134" s="49">
        <v>40.0</v>
      </c>
      <c r="F134" s="21">
        <f t="shared" si="389"/>
        <v>41</v>
      </c>
      <c r="G134" s="28">
        <f t="shared" si="390"/>
        <v>0.9268292683</v>
      </c>
      <c r="H134" s="23">
        <v>15.0</v>
      </c>
      <c r="I134" s="23">
        <f t="shared" si="391"/>
        <v>15</v>
      </c>
      <c r="J134" s="25"/>
      <c r="K134" s="24">
        <v>2027.0</v>
      </c>
      <c r="L134" s="24">
        <v>2025.0</v>
      </c>
      <c r="M134" s="21"/>
      <c r="N134" s="21"/>
      <c r="O134" s="21"/>
      <c r="P134" s="25">
        <f t="shared" si="392"/>
        <v>15</v>
      </c>
      <c r="Q134" s="21"/>
      <c r="R134" s="21"/>
      <c r="S134" s="21"/>
      <c r="T134" s="25">
        <f t="shared" si="378"/>
        <v>15</v>
      </c>
      <c r="U134" s="21"/>
      <c r="V134" s="21"/>
      <c r="W134" s="21"/>
      <c r="X134" s="25">
        <f t="shared" si="379"/>
        <v>15</v>
      </c>
      <c r="Y134" s="21"/>
      <c r="Z134" s="21"/>
      <c r="AA134" s="21"/>
      <c r="AB134" s="25">
        <f t="shared" si="380"/>
        <v>15</v>
      </c>
      <c r="AC134" s="18"/>
      <c r="AD134" s="18"/>
      <c r="AE134" s="21"/>
      <c r="AF134" s="25">
        <f t="shared" si="381"/>
        <v>15</v>
      </c>
      <c r="AG134" s="18">
        <v>1.0</v>
      </c>
      <c r="AH134" s="21">
        <v>8.0</v>
      </c>
      <c r="AI134" s="21"/>
      <c r="AJ134" s="25">
        <f t="shared" si="382"/>
        <v>24</v>
      </c>
      <c r="AK134" s="21"/>
      <c r="AL134" s="18">
        <v>10.0</v>
      </c>
      <c r="AM134" s="21"/>
      <c r="AN134" s="25">
        <f t="shared" si="383"/>
        <v>34</v>
      </c>
      <c r="AO134" s="18"/>
      <c r="AP134" s="18"/>
      <c r="AQ134" s="21"/>
      <c r="AR134" s="25">
        <f t="shared" si="384"/>
        <v>34</v>
      </c>
      <c r="AS134" s="18">
        <v>3.0</v>
      </c>
      <c r="AT134" s="18">
        <v>1.0</v>
      </c>
      <c r="AU134" s="21"/>
      <c r="AV134" s="25">
        <f t="shared" si="385"/>
        <v>38</v>
      </c>
      <c r="AW134" s="21"/>
      <c r="AX134" s="21"/>
      <c r="AY134" s="21"/>
      <c r="AZ134" s="25">
        <f t="shared" si="386"/>
        <v>38</v>
      </c>
      <c r="BA134" s="21"/>
      <c r="BB134" s="21"/>
      <c r="BC134" s="21"/>
      <c r="BD134" s="25">
        <f t="shared" si="387"/>
        <v>38</v>
      </c>
      <c r="BE134" s="21"/>
      <c r="BF134" s="21"/>
      <c r="BG134" s="21"/>
      <c r="BH134" s="25">
        <f t="shared" si="388"/>
        <v>38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/>
      <c r="C135" s="21"/>
      <c r="D135" s="21"/>
      <c r="E135" s="21"/>
      <c r="F135" s="21"/>
      <c r="G135" s="21"/>
      <c r="H135" s="25"/>
      <c r="I135" s="25"/>
      <c r="J135" s="25"/>
      <c r="K135" s="21"/>
      <c r="L135" s="21"/>
      <c r="M135" s="21">
        <f t="shared" ref="M135:O135" si="393">SUM(M130:M134)</f>
        <v>1</v>
      </c>
      <c r="N135" s="21">
        <f t="shared" si="393"/>
        <v>22</v>
      </c>
      <c r="O135" s="21">
        <f t="shared" si="393"/>
        <v>0</v>
      </c>
      <c r="P135" s="25">
        <f>SUM(P129:P134)</f>
        <v>66</v>
      </c>
      <c r="Q135" s="21">
        <f t="shared" ref="Q135:S135" si="394">SUM(Q130:Q134)</f>
        <v>0</v>
      </c>
      <c r="R135" s="21">
        <f t="shared" si="394"/>
        <v>0</v>
      </c>
      <c r="S135" s="21">
        <f t="shared" si="394"/>
        <v>0</v>
      </c>
      <c r="T135" s="25">
        <f>SUM(T129:T134)</f>
        <v>66</v>
      </c>
      <c r="U135" s="21">
        <f t="shared" ref="U135:W135" si="395">SUM(U130:U134)</f>
        <v>0</v>
      </c>
      <c r="V135" s="21">
        <f t="shared" si="395"/>
        <v>0</v>
      </c>
      <c r="W135" s="21">
        <f t="shared" si="395"/>
        <v>0</v>
      </c>
      <c r="X135" s="25">
        <f>SUM(X129:X134)</f>
        <v>66</v>
      </c>
      <c r="Y135" s="21">
        <f t="shared" ref="Y135:AA135" si="396">SUM(Y130:Y134)</f>
        <v>5</v>
      </c>
      <c r="Z135" s="21">
        <f t="shared" si="396"/>
        <v>34</v>
      </c>
      <c r="AA135" s="21">
        <f t="shared" si="396"/>
        <v>1</v>
      </c>
      <c r="AB135" s="25">
        <f>SUM(AB129:AB134)</f>
        <v>106</v>
      </c>
      <c r="AC135" s="21">
        <f t="shared" ref="AC135:AE135" si="397">SUM(AC130:AC134)</f>
        <v>0</v>
      </c>
      <c r="AD135" s="21">
        <f t="shared" si="397"/>
        <v>0</v>
      </c>
      <c r="AE135" s="21">
        <f t="shared" si="397"/>
        <v>0</v>
      </c>
      <c r="AF135" s="25">
        <f>SUM(AF129:AF134)</f>
        <v>106</v>
      </c>
      <c r="AG135" s="21">
        <f t="shared" ref="AG135:AI135" si="398">SUM(AG130:AG134)</f>
        <v>1</v>
      </c>
      <c r="AH135" s="21">
        <f t="shared" si="398"/>
        <v>19</v>
      </c>
      <c r="AI135" s="21">
        <f t="shared" si="398"/>
        <v>0</v>
      </c>
      <c r="AJ135" s="25">
        <f>SUM(AJ129:AJ134)</f>
        <v>126</v>
      </c>
      <c r="AK135" s="21">
        <f t="shared" ref="AK135:AM135" si="399">SUM(AK130:AK134)</f>
        <v>3</v>
      </c>
      <c r="AL135" s="21">
        <f t="shared" si="399"/>
        <v>11</v>
      </c>
      <c r="AM135" s="21">
        <f t="shared" si="399"/>
        <v>0</v>
      </c>
      <c r="AN135" s="25">
        <f>SUM(AN129:AN134)</f>
        <v>140</v>
      </c>
      <c r="AO135" s="21">
        <f t="shared" ref="AO135:AQ135" si="400">SUM(AO130:AO134)</f>
        <v>0</v>
      </c>
      <c r="AP135" s="21">
        <f t="shared" si="400"/>
        <v>4</v>
      </c>
      <c r="AQ135" s="21">
        <f t="shared" si="400"/>
        <v>0</v>
      </c>
      <c r="AR135" s="25">
        <f>SUM(AR129:AR134)</f>
        <v>144</v>
      </c>
      <c r="AS135" s="21">
        <f t="shared" ref="AS135:AU135" si="401">SUM(AS130:AS134)</f>
        <v>3</v>
      </c>
      <c r="AT135" s="21">
        <f t="shared" si="401"/>
        <v>21</v>
      </c>
      <c r="AU135" s="21">
        <f t="shared" si="401"/>
        <v>1</v>
      </c>
      <c r="AV135" s="25">
        <f>SUM(AV129:AV134)</f>
        <v>169</v>
      </c>
      <c r="AW135" s="21">
        <f t="shared" ref="AW135:AY135" si="402">SUM(AW130:AW134)</f>
        <v>0</v>
      </c>
      <c r="AX135" s="21">
        <f t="shared" si="402"/>
        <v>0</v>
      </c>
      <c r="AY135" s="21">
        <f t="shared" si="402"/>
        <v>0</v>
      </c>
      <c r="AZ135" s="25">
        <f>SUM(AZ129:AZ134)</f>
        <v>169</v>
      </c>
      <c r="BA135" s="21">
        <f t="shared" ref="BA135:BC135" si="403">SUM(BA130:BA134)</f>
        <v>1</v>
      </c>
      <c r="BB135" s="21">
        <f t="shared" si="403"/>
        <v>0</v>
      </c>
      <c r="BC135" s="21">
        <f t="shared" si="403"/>
        <v>0</v>
      </c>
      <c r="BD135" s="25">
        <f>SUM(BD129:BD134)</f>
        <v>170</v>
      </c>
      <c r="BE135" s="21">
        <f t="shared" ref="BE135:BG135" si="404">SUM(BE130:BE134)</f>
        <v>0</v>
      </c>
      <c r="BF135" s="21">
        <f t="shared" si="404"/>
        <v>0</v>
      </c>
      <c r="BG135" s="21">
        <f t="shared" si="404"/>
        <v>0</v>
      </c>
      <c r="BH135" s="25">
        <f>SUM(BH129:BH134)</f>
        <v>170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21"/>
      <c r="B136" s="21" t="s">
        <v>35</v>
      </c>
      <c r="C136" s="21">
        <f>COUNT(C130:C134)</f>
        <v>5</v>
      </c>
      <c r="D136" s="21"/>
      <c r="E136" s="21">
        <f>SUM(E129:E134)</f>
        <v>170</v>
      </c>
      <c r="F136" s="21">
        <f>SUM(E129:E134)+1</f>
        <v>171</v>
      </c>
      <c r="G136" s="22">
        <f>$BH135/F136</f>
        <v>0.9941520468</v>
      </c>
      <c r="H136" s="25">
        <f t="shared" ref="H136:J136" si="405">SUM(H129:H134)</f>
        <v>43</v>
      </c>
      <c r="I136" s="25">
        <f t="shared" si="405"/>
        <v>48</v>
      </c>
      <c r="J136" s="25">
        <f t="shared" si="405"/>
        <v>5</v>
      </c>
      <c r="K136" s="21"/>
      <c r="L136" s="21"/>
      <c r="M136" s="21"/>
      <c r="N136" s="21"/>
      <c r="O136" s="21"/>
      <c r="P136" s="22">
        <f>P135/F136</f>
        <v>0.3859649123</v>
      </c>
      <c r="Q136" s="21">
        <f t="shared" ref="Q136:S136" si="406">M135+Q135</f>
        <v>1</v>
      </c>
      <c r="R136" s="21">
        <f t="shared" si="406"/>
        <v>22</v>
      </c>
      <c r="S136" s="21">
        <f t="shared" si="406"/>
        <v>0</v>
      </c>
      <c r="T136" s="22">
        <f>T135/F136</f>
        <v>0.3859649123</v>
      </c>
      <c r="U136" s="21">
        <f t="shared" ref="U136:W136" si="407">Q136+U135</f>
        <v>1</v>
      </c>
      <c r="V136" s="21">
        <f t="shared" si="407"/>
        <v>22</v>
      </c>
      <c r="W136" s="21">
        <f t="shared" si="407"/>
        <v>0</v>
      </c>
      <c r="X136" s="22">
        <f>X135/F136</f>
        <v>0.3859649123</v>
      </c>
      <c r="Y136" s="21">
        <f t="shared" ref="Y136:AA136" si="408">U136+Y135</f>
        <v>6</v>
      </c>
      <c r="Z136" s="21">
        <f t="shared" si="408"/>
        <v>56</v>
      </c>
      <c r="AA136" s="21">
        <f t="shared" si="408"/>
        <v>1</v>
      </c>
      <c r="AB136" s="22">
        <f>AB135/F136</f>
        <v>0.6198830409</v>
      </c>
      <c r="AC136" s="21">
        <f t="shared" ref="AC136:AE136" si="409">Y136+AC135</f>
        <v>6</v>
      </c>
      <c r="AD136" s="21">
        <f t="shared" si="409"/>
        <v>56</v>
      </c>
      <c r="AE136" s="21">
        <f t="shared" si="409"/>
        <v>1</v>
      </c>
      <c r="AF136" s="22">
        <f>AF135/F136</f>
        <v>0.6198830409</v>
      </c>
      <c r="AG136" s="21">
        <f t="shared" ref="AG136:AI136" si="410">AC136+AG135</f>
        <v>7</v>
      </c>
      <c r="AH136" s="21">
        <f t="shared" si="410"/>
        <v>75</v>
      </c>
      <c r="AI136" s="21">
        <f t="shared" si="410"/>
        <v>1</v>
      </c>
      <c r="AJ136" s="22">
        <f>AJ135/F136</f>
        <v>0.7368421053</v>
      </c>
      <c r="AK136" s="21">
        <f t="shared" ref="AK136:AM136" si="411">AG136+AK135</f>
        <v>10</v>
      </c>
      <c r="AL136" s="21">
        <f t="shared" si="411"/>
        <v>86</v>
      </c>
      <c r="AM136" s="21">
        <f t="shared" si="411"/>
        <v>1</v>
      </c>
      <c r="AN136" s="22">
        <f>AN135/F136</f>
        <v>0.8187134503</v>
      </c>
      <c r="AO136" s="21">
        <f t="shared" ref="AO136:AQ136" si="412">AK136+AO135</f>
        <v>10</v>
      </c>
      <c r="AP136" s="21">
        <f t="shared" si="412"/>
        <v>90</v>
      </c>
      <c r="AQ136" s="21">
        <f t="shared" si="412"/>
        <v>1</v>
      </c>
      <c r="AR136" s="22">
        <f>AR135/F136</f>
        <v>0.8421052632</v>
      </c>
      <c r="AS136" s="21">
        <f t="shared" ref="AS136:AU136" si="413">AO136+AS135</f>
        <v>13</v>
      </c>
      <c r="AT136" s="21">
        <f t="shared" si="413"/>
        <v>111</v>
      </c>
      <c r="AU136" s="21">
        <f t="shared" si="413"/>
        <v>2</v>
      </c>
      <c r="AV136" s="22">
        <f>AV135/F136</f>
        <v>0.9883040936</v>
      </c>
      <c r="AW136" s="21">
        <f t="shared" ref="AW136:AY136" si="414">AS136+AW135</f>
        <v>13</v>
      </c>
      <c r="AX136" s="21">
        <f t="shared" si="414"/>
        <v>111</v>
      </c>
      <c r="AY136" s="21">
        <f t="shared" si="414"/>
        <v>2</v>
      </c>
      <c r="AZ136" s="22">
        <f>AZ135/F136</f>
        <v>0.9883040936</v>
      </c>
      <c r="BA136" s="21">
        <f t="shared" ref="BA136:BC136" si="415">AW136+BA135</f>
        <v>14</v>
      </c>
      <c r="BB136" s="21">
        <f t="shared" si="415"/>
        <v>111</v>
      </c>
      <c r="BC136" s="21">
        <f t="shared" si="415"/>
        <v>2</v>
      </c>
      <c r="BD136" s="22">
        <f>BD135/F136</f>
        <v>0.9941520468</v>
      </c>
      <c r="BE136" s="21">
        <f t="shared" ref="BE136:BG136" si="416">BA136+BE135</f>
        <v>14</v>
      </c>
      <c r="BF136" s="21">
        <f t="shared" si="416"/>
        <v>111</v>
      </c>
      <c r="BG136" s="21">
        <f t="shared" si="416"/>
        <v>2</v>
      </c>
      <c r="BH136" s="22">
        <f>BH135/F136</f>
        <v>0.9941520468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16"/>
      <c r="B137" s="16"/>
      <c r="C137" s="16"/>
      <c r="D137" s="16"/>
      <c r="E137" s="16"/>
      <c r="F137" s="16"/>
      <c r="G137" s="16"/>
      <c r="H137" s="31"/>
      <c r="I137" s="31"/>
      <c r="J137" s="3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33" t="s">
        <v>128</v>
      </c>
      <c r="B138" s="21"/>
      <c r="C138" s="21"/>
      <c r="D138" s="21"/>
      <c r="E138" s="21"/>
      <c r="F138" s="21"/>
      <c r="G138" s="22"/>
      <c r="H138" s="25"/>
      <c r="I138" s="25"/>
      <c r="J138" s="25"/>
      <c r="K138" s="21">
        <v>2027.0</v>
      </c>
      <c r="L138" s="21">
        <v>2025.0</v>
      </c>
      <c r="M138" s="21"/>
      <c r="N138" s="21"/>
      <c r="O138" s="21"/>
      <c r="P138" s="98" t="str">
        <f>+H138</f>
        <v/>
      </c>
      <c r="Q138" s="21"/>
      <c r="R138" s="21"/>
      <c r="S138" s="21"/>
      <c r="T138" s="25">
        <f t="shared" ref="T138:T142" si="417">SUM(P138:S138)</f>
        <v>0</v>
      </c>
      <c r="U138" s="21"/>
      <c r="V138" s="21"/>
      <c r="W138" s="21"/>
      <c r="X138" s="25">
        <f t="shared" ref="X138:X142" si="418">SUM(T138:W138)</f>
        <v>0</v>
      </c>
      <c r="Y138" s="21"/>
      <c r="Z138" s="21"/>
      <c r="AA138" s="21"/>
      <c r="AB138" s="25">
        <f t="shared" ref="AB138:AB142" si="419">SUM(X138:AA138)</f>
        <v>0</v>
      </c>
      <c r="AC138" s="21"/>
      <c r="AD138" s="21"/>
      <c r="AE138" s="21"/>
      <c r="AF138" s="25">
        <f t="shared" ref="AF138:AF142" si="420">SUM(AB138:AE138)</f>
        <v>0</v>
      </c>
      <c r="AG138" s="21"/>
      <c r="AH138" s="21"/>
      <c r="AI138" s="21"/>
      <c r="AJ138" s="25">
        <f t="shared" ref="AJ138:AJ142" si="421">SUM(AF138:AI138)</f>
        <v>0</v>
      </c>
      <c r="AK138" s="21"/>
      <c r="AL138" s="21"/>
      <c r="AM138" s="21"/>
      <c r="AN138" s="25">
        <f t="shared" ref="AN138:AN142" si="422">SUM(AJ138:AM138)</f>
        <v>0</v>
      </c>
      <c r="AO138" s="21"/>
      <c r="AP138" s="21"/>
      <c r="AQ138" s="21"/>
      <c r="AR138" s="25">
        <f t="shared" ref="AR138:AR142" si="423">SUM(AN138:AQ138)</f>
        <v>0</v>
      </c>
      <c r="AS138" s="21"/>
      <c r="AT138" s="21"/>
      <c r="AU138" s="21"/>
      <c r="AV138" s="25">
        <f t="shared" ref="AV138:AV142" si="424">SUM(AR138:AU138)</f>
        <v>0</v>
      </c>
      <c r="AW138" s="21"/>
      <c r="AX138" s="21"/>
      <c r="AY138" s="21"/>
      <c r="AZ138" s="25">
        <f t="shared" ref="AZ138:AZ142" si="425">SUM(AV138:AY138)</f>
        <v>0</v>
      </c>
      <c r="BA138" s="21"/>
      <c r="BB138" s="21"/>
      <c r="BC138" s="21"/>
      <c r="BD138" s="25">
        <f t="shared" ref="BD138:BD142" si="426">SUM(AZ138:BC138)</f>
        <v>0</v>
      </c>
      <c r="BE138" s="21"/>
      <c r="BF138" s="21"/>
      <c r="BG138" s="21"/>
      <c r="BH138" s="25">
        <f t="shared" ref="BH138:BH142" si="427">SUM(BD138:BG138)</f>
        <v>0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2.0</v>
      </c>
      <c r="D139" s="49">
        <v>6423.0</v>
      </c>
      <c r="E139" s="21">
        <v>44.0</v>
      </c>
      <c r="F139" s="21">
        <f t="shared" ref="F139:F142" si="428">E139+1</f>
        <v>45</v>
      </c>
      <c r="G139" s="22">
        <f t="shared" ref="G139:G142" si="429">$BH139/F139</f>
        <v>1.022222222</v>
      </c>
      <c r="H139" s="25">
        <v>44.0</v>
      </c>
      <c r="I139" s="25">
        <f t="shared" ref="I139:I142" si="430">+H139+J139</f>
        <v>46</v>
      </c>
      <c r="J139" s="25">
        <v>2.0</v>
      </c>
      <c r="K139" s="21">
        <v>2027.0</v>
      </c>
      <c r="L139" s="21">
        <v>2025.0</v>
      </c>
      <c r="M139" s="21"/>
      <c r="N139" s="21"/>
      <c r="O139" s="21"/>
      <c r="P139" s="98">
        <f t="shared" ref="P139:P142" si="431">SUM(M139:O139)+H139</f>
        <v>44</v>
      </c>
      <c r="Q139" s="21">
        <v>1.0</v>
      </c>
      <c r="R139" s="21"/>
      <c r="S139" s="21"/>
      <c r="T139" s="25">
        <f t="shared" si="417"/>
        <v>45</v>
      </c>
      <c r="U139" s="21"/>
      <c r="V139" s="21"/>
      <c r="W139" s="21"/>
      <c r="X139" s="25">
        <f t="shared" si="418"/>
        <v>45</v>
      </c>
      <c r="Y139" s="21"/>
      <c r="Z139" s="21"/>
      <c r="AA139" s="21"/>
      <c r="AB139" s="25">
        <f t="shared" si="419"/>
        <v>45</v>
      </c>
      <c r="AC139" s="21"/>
      <c r="AD139" s="21"/>
      <c r="AE139" s="21"/>
      <c r="AF139" s="25">
        <f t="shared" si="420"/>
        <v>45</v>
      </c>
      <c r="AG139" s="21"/>
      <c r="AH139" s="21"/>
      <c r="AI139" s="21"/>
      <c r="AJ139" s="25">
        <f t="shared" si="421"/>
        <v>45</v>
      </c>
      <c r="AK139" s="21">
        <v>1.0</v>
      </c>
      <c r="AL139" s="21"/>
      <c r="AM139" s="21"/>
      <c r="AN139" s="25">
        <f t="shared" si="422"/>
        <v>46</v>
      </c>
      <c r="AO139" s="21"/>
      <c r="AP139" s="21"/>
      <c r="AQ139" s="21"/>
      <c r="AR139" s="25">
        <f t="shared" si="423"/>
        <v>46</v>
      </c>
      <c r="AS139" s="21"/>
      <c r="AT139" s="21"/>
      <c r="AU139" s="21"/>
      <c r="AV139" s="25">
        <f t="shared" si="424"/>
        <v>46</v>
      </c>
      <c r="AW139" s="21"/>
      <c r="AX139" s="21"/>
      <c r="AY139" s="21"/>
      <c r="AZ139" s="25">
        <f t="shared" si="425"/>
        <v>46</v>
      </c>
      <c r="BA139" s="21"/>
      <c r="BB139" s="21"/>
      <c r="BC139" s="21"/>
      <c r="BD139" s="25">
        <f t="shared" si="426"/>
        <v>46</v>
      </c>
      <c r="BE139" s="21"/>
      <c r="BF139" s="21"/>
      <c r="BG139" s="21"/>
      <c r="BH139" s="25">
        <f t="shared" si="427"/>
        <v>46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53" t="s">
        <v>130</v>
      </c>
      <c r="C140" s="21">
        <v>6.0</v>
      </c>
      <c r="D140" s="49">
        <v>1484.0</v>
      </c>
      <c r="E140" s="21">
        <v>15.0</v>
      </c>
      <c r="F140" s="21">
        <f t="shared" si="428"/>
        <v>16</v>
      </c>
      <c r="G140" s="22">
        <f t="shared" si="429"/>
        <v>0.875</v>
      </c>
      <c r="H140" s="25">
        <v>5.0</v>
      </c>
      <c r="I140" s="25">
        <f t="shared" si="430"/>
        <v>5</v>
      </c>
      <c r="J140" s="25"/>
      <c r="K140" s="21">
        <v>0.0</v>
      </c>
      <c r="L140" s="21">
        <v>2025.0</v>
      </c>
      <c r="M140" s="21"/>
      <c r="N140" s="21">
        <v>8.0</v>
      </c>
      <c r="O140" s="21">
        <v>1.0</v>
      </c>
      <c r="P140" s="98">
        <f t="shared" si="431"/>
        <v>14</v>
      </c>
      <c r="Q140" s="21"/>
      <c r="R140" s="21"/>
      <c r="S140" s="21"/>
      <c r="T140" s="25">
        <f t="shared" si="417"/>
        <v>14</v>
      </c>
      <c r="U140" s="21"/>
      <c r="V140" s="21"/>
      <c r="W140" s="21"/>
      <c r="X140" s="25">
        <f t="shared" si="418"/>
        <v>14</v>
      </c>
      <c r="Y140" s="21"/>
      <c r="Z140" s="21"/>
      <c r="AA140" s="21"/>
      <c r="AB140" s="25">
        <f t="shared" si="419"/>
        <v>14</v>
      </c>
      <c r="AC140" s="21"/>
      <c r="AD140" s="21"/>
      <c r="AE140" s="21"/>
      <c r="AF140" s="25">
        <f t="shared" si="420"/>
        <v>14</v>
      </c>
      <c r="AG140" s="21"/>
      <c r="AH140" s="21"/>
      <c r="AI140" s="21"/>
      <c r="AJ140" s="25">
        <f t="shared" si="421"/>
        <v>14</v>
      </c>
      <c r="AK140" s="21"/>
      <c r="AL140" s="21"/>
      <c r="AM140" s="21"/>
      <c r="AN140" s="25">
        <f t="shared" si="422"/>
        <v>14</v>
      </c>
      <c r="AO140" s="21"/>
      <c r="AP140" s="21"/>
      <c r="AQ140" s="21"/>
      <c r="AR140" s="25">
        <f t="shared" si="423"/>
        <v>14</v>
      </c>
      <c r="AS140" s="21"/>
      <c r="AT140" s="21"/>
      <c r="AU140" s="21"/>
      <c r="AV140" s="25">
        <f t="shared" si="424"/>
        <v>14</v>
      </c>
      <c r="AW140" s="21"/>
      <c r="AX140" s="21"/>
      <c r="AY140" s="21"/>
      <c r="AZ140" s="25">
        <f t="shared" si="425"/>
        <v>14</v>
      </c>
      <c r="BA140" s="21"/>
      <c r="BB140" s="21"/>
      <c r="BC140" s="21"/>
      <c r="BD140" s="25">
        <f t="shared" si="426"/>
        <v>14</v>
      </c>
      <c r="BE140" s="21"/>
      <c r="BF140" s="21"/>
      <c r="BG140" s="21"/>
      <c r="BH140" s="25">
        <f t="shared" si="427"/>
        <v>14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131</v>
      </c>
      <c r="C141" s="21">
        <v>7.0</v>
      </c>
      <c r="D141" s="49">
        <v>10281.0</v>
      </c>
      <c r="E141" s="21">
        <v>119.0</v>
      </c>
      <c r="F141" s="21">
        <f t="shared" si="428"/>
        <v>120</v>
      </c>
      <c r="G141" s="22">
        <f t="shared" si="429"/>
        <v>1.016666667</v>
      </c>
      <c r="H141" s="25">
        <v>55.0</v>
      </c>
      <c r="I141" s="25">
        <f t="shared" si="430"/>
        <v>55</v>
      </c>
      <c r="J141" s="25"/>
      <c r="K141" s="21">
        <v>2027.0</v>
      </c>
      <c r="L141" s="21">
        <v>2025.0</v>
      </c>
      <c r="M141" s="21"/>
      <c r="N141" s="21">
        <v>62.0</v>
      </c>
      <c r="O141" s="21">
        <v>1.0</v>
      </c>
      <c r="P141" s="98">
        <f t="shared" si="431"/>
        <v>118</v>
      </c>
      <c r="Q141" s="21"/>
      <c r="R141" s="21"/>
      <c r="S141" s="21"/>
      <c r="T141" s="25">
        <f t="shared" si="417"/>
        <v>118</v>
      </c>
      <c r="U141" s="21"/>
      <c r="V141" s="21"/>
      <c r="W141" s="21"/>
      <c r="X141" s="25">
        <f t="shared" si="418"/>
        <v>118</v>
      </c>
      <c r="Y141" s="21"/>
      <c r="Z141" s="21"/>
      <c r="AA141" s="21"/>
      <c r="AB141" s="25">
        <f t="shared" si="419"/>
        <v>118</v>
      </c>
      <c r="AC141" s="21"/>
      <c r="AD141" s="21"/>
      <c r="AE141" s="21"/>
      <c r="AF141" s="25">
        <f t="shared" si="420"/>
        <v>118</v>
      </c>
      <c r="AG141" s="21">
        <v>1.0</v>
      </c>
      <c r="AH141" s="21"/>
      <c r="AI141" s="21"/>
      <c r="AJ141" s="25">
        <f t="shared" si="421"/>
        <v>119</v>
      </c>
      <c r="AK141" s="21"/>
      <c r="AL141" s="21"/>
      <c r="AM141" s="21"/>
      <c r="AN141" s="25">
        <f t="shared" si="422"/>
        <v>119</v>
      </c>
      <c r="AO141" s="21"/>
      <c r="AP141" s="21"/>
      <c r="AQ141" s="21"/>
      <c r="AR141" s="25">
        <f t="shared" si="423"/>
        <v>119</v>
      </c>
      <c r="AS141" s="21"/>
      <c r="AT141" s="21"/>
      <c r="AU141" s="21"/>
      <c r="AV141" s="25">
        <f t="shared" si="424"/>
        <v>119</v>
      </c>
      <c r="AW141" s="18">
        <v>3.0</v>
      </c>
      <c r="AX141" s="21"/>
      <c r="AY141" s="21"/>
      <c r="AZ141" s="25">
        <f t="shared" si="425"/>
        <v>122</v>
      </c>
      <c r="BA141" s="21"/>
      <c r="BB141" s="21"/>
      <c r="BC141" s="21"/>
      <c r="BD141" s="25">
        <f t="shared" si="426"/>
        <v>122</v>
      </c>
      <c r="BE141" s="21"/>
      <c r="BF141" s="21"/>
      <c r="BG141" s="21"/>
      <c r="BH141" s="25">
        <f t="shared" si="427"/>
        <v>122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 t="s">
        <v>132</v>
      </c>
      <c r="C142" s="21">
        <v>9.0</v>
      </c>
      <c r="D142" s="49"/>
      <c r="E142" s="21">
        <v>37.0</v>
      </c>
      <c r="F142" s="21">
        <f t="shared" si="428"/>
        <v>38</v>
      </c>
      <c r="G142" s="22">
        <f t="shared" si="429"/>
        <v>0.7894736842</v>
      </c>
      <c r="H142" s="25">
        <v>29.0</v>
      </c>
      <c r="I142" s="25">
        <f t="shared" si="430"/>
        <v>30</v>
      </c>
      <c r="J142" s="55">
        <v>1.0</v>
      </c>
      <c r="K142" s="21">
        <v>2027.0</v>
      </c>
      <c r="L142" s="21">
        <v>2025.0</v>
      </c>
      <c r="M142" s="21"/>
      <c r="N142" s="21"/>
      <c r="O142" s="21"/>
      <c r="P142" s="98">
        <f t="shared" si="431"/>
        <v>29</v>
      </c>
      <c r="Q142" s="21"/>
      <c r="R142" s="21"/>
      <c r="S142" s="21"/>
      <c r="T142" s="25">
        <f t="shared" si="417"/>
        <v>29</v>
      </c>
      <c r="U142" s="21"/>
      <c r="V142" s="21"/>
      <c r="W142" s="21"/>
      <c r="X142" s="25">
        <f t="shared" si="418"/>
        <v>29</v>
      </c>
      <c r="Y142" s="21"/>
      <c r="Z142" s="21"/>
      <c r="AA142" s="21"/>
      <c r="AB142" s="25">
        <f t="shared" si="419"/>
        <v>29</v>
      </c>
      <c r="AC142" s="21"/>
      <c r="AD142" s="21"/>
      <c r="AE142" s="21"/>
      <c r="AF142" s="25">
        <f t="shared" si="420"/>
        <v>29</v>
      </c>
      <c r="AG142" s="21"/>
      <c r="AH142" s="21"/>
      <c r="AI142" s="21"/>
      <c r="AJ142" s="25">
        <f t="shared" si="421"/>
        <v>29</v>
      </c>
      <c r="AK142" s="21"/>
      <c r="AL142" s="21"/>
      <c r="AM142" s="21"/>
      <c r="AN142" s="25">
        <f t="shared" si="422"/>
        <v>29</v>
      </c>
      <c r="AO142" s="21"/>
      <c r="AP142" s="21"/>
      <c r="AQ142" s="21"/>
      <c r="AR142" s="25">
        <f t="shared" si="423"/>
        <v>29</v>
      </c>
      <c r="AS142" s="21"/>
      <c r="AT142" s="21"/>
      <c r="AU142" s="18">
        <v>1.0</v>
      </c>
      <c r="AV142" s="25">
        <f t="shared" si="424"/>
        <v>30</v>
      </c>
      <c r="AW142" s="21"/>
      <c r="AX142" s="21"/>
      <c r="AY142" s="21"/>
      <c r="AZ142" s="25">
        <f t="shared" si="425"/>
        <v>30</v>
      </c>
      <c r="BA142" s="21"/>
      <c r="BB142" s="21"/>
      <c r="BC142" s="21"/>
      <c r="BD142" s="25">
        <f t="shared" si="426"/>
        <v>30</v>
      </c>
      <c r="BE142" s="21"/>
      <c r="BF142" s="21"/>
      <c r="BG142" s="21"/>
      <c r="BH142" s="25">
        <f t="shared" si="427"/>
        <v>30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1"/>
      <c r="B143" s="21"/>
      <c r="C143" s="21"/>
      <c r="D143" s="21"/>
      <c r="E143" s="21"/>
      <c r="F143" s="21"/>
      <c r="G143" s="21"/>
      <c r="H143" s="25"/>
      <c r="I143" s="25"/>
      <c r="J143" s="25"/>
      <c r="K143" s="21"/>
      <c r="L143" s="21"/>
      <c r="M143" s="21">
        <f t="shared" ref="M143:O143" si="432">SUM(M137:M142)</f>
        <v>0</v>
      </c>
      <c r="N143" s="21">
        <f t="shared" si="432"/>
        <v>70</v>
      </c>
      <c r="O143" s="21">
        <f t="shared" si="432"/>
        <v>2</v>
      </c>
      <c r="P143" s="25">
        <f>SUM(P138:P142)</f>
        <v>205</v>
      </c>
      <c r="Q143" s="21">
        <f t="shared" ref="Q143:S143" si="433">SUM(Q137:Q142)</f>
        <v>1</v>
      </c>
      <c r="R143" s="21">
        <f t="shared" si="433"/>
        <v>0</v>
      </c>
      <c r="S143" s="21">
        <f t="shared" si="433"/>
        <v>0</v>
      </c>
      <c r="T143" s="25">
        <f>SUM(T138:T142)</f>
        <v>206</v>
      </c>
      <c r="U143" s="21">
        <f t="shared" ref="U143:W143" si="434">SUM(U137:U142)</f>
        <v>0</v>
      </c>
      <c r="V143" s="21">
        <f t="shared" si="434"/>
        <v>0</v>
      </c>
      <c r="W143" s="21">
        <f t="shared" si="434"/>
        <v>0</v>
      </c>
      <c r="X143" s="25">
        <f>SUM(X138:X142)</f>
        <v>206</v>
      </c>
      <c r="Y143" s="21">
        <f t="shared" ref="Y143:AA143" si="435">SUM(Y137:Y142)</f>
        <v>0</v>
      </c>
      <c r="Z143" s="21">
        <f t="shared" si="435"/>
        <v>0</v>
      </c>
      <c r="AA143" s="21">
        <f t="shared" si="435"/>
        <v>0</v>
      </c>
      <c r="AB143" s="25">
        <f>SUM(AB138:AB142)</f>
        <v>206</v>
      </c>
      <c r="AC143" s="21">
        <f t="shared" ref="AC143:AE143" si="436">SUM(AC137:AC142)</f>
        <v>0</v>
      </c>
      <c r="AD143" s="21">
        <f t="shared" si="436"/>
        <v>0</v>
      </c>
      <c r="AE143" s="21">
        <f t="shared" si="436"/>
        <v>0</v>
      </c>
      <c r="AF143" s="25">
        <f>SUM(AF138:AF142)</f>
        <v>206</v>
      </c>
      <c r="AG143" s="21">
        <f t="shared" ref="AG143:AI143" si="437">SUM(AG137:AG142)</f>
        <v>1</v>
      </c>
      <c r="AH143" s="21">
        <f t="shared" si="437"/>
        <v>0</v>
      </c>
      <c r="AI143" s="21">
        <f t="shared" si="437"/>
        <v>0</v>
      </c>
      <c r="AJ143" s="25">
        <f>SUM(AJ138:AJ142)</f>
        <v>207</v>
      </c>
      <c r="AK143" s="21">
        <f t="shared" ref="AK143:AM143" si="438">SUM(AK137:AK142)</f>
        <v>1</v>
      </c>
      <c r="AL143" s="21">
        <f t="shared" si="438"/>
        <v>0</v>
      </c>
      <c r="AM143" s="21">
        <f t="shared" si="438"/>
        <v>0</v>
      </c>
      <c r="AN143" s="25">
        <f>SUM(AN138:AN142)</f>
        <v>208</v>
      </c>
      <c r="AO143" s="21">
        <f t="shared" ref="AO143:AQ143" si="439">SUM(AO137:AO142)</f>
        <v>0</v>
      </c>
      <c r="AP143" s="21">
        <f t="shared" si="439"/>
        <v>0</v>
      </c>
      <c r="AQ143" s="21">
        <f t="shared" si="439"/>
        <v>0</v>
      </c>
      <c r="AR143" s="25">
        <f>SUM(AR138:AR142)</f>
        <v>208</v>
      </c>
      <c r="AS143" s="21">
        <f t="shared" ref="AS143:AU143" si="440">SUM(AS137:AS142)</f>
        <v>0</v>
      </c>
      <c r="AT143" s="21">
        <f t="shared" si="440"/>
        <v>0</v>
      </c>
      <c r="AU143" s="21">
        <f t="shared" si="440"/>
        <v>1</v>
      </c>
      <c r="AV143" s="25">
        <f>SUM(AV138:AV142)</f>
        <v>209</v>
      </c>
      <c r="AW143" s="21">
        <f t="shared" ref="AW143:AY143" si="441">SUM(AW137:AW142)</f>
        <v>3</v>
      </c>
      <c r="AX143" s="21">
        <f t="shared" si="441"/>
        <v>0</v>
      </c>
      <c r="AY143" s="21">
        <f t="shared" si="441"/>
        <v>0</v>
      </c>
      <c r="AZ143" s="25">
        <f>SUM(AZ138:AZ142)</f>
        <v>212</v>
      </c>
      <c r="BA143" s="21">
        <f t="shared" ref="BA143:BC143" si="442">SUM(BA137:BA142)</f>
        <v>0</v>
      </c>
      <c r="BB143" s="21">
        <f t="shared" si="442"/>
        <v>0</v>
      </c>
      <c r="BC143" s="21">
        <f t="shared" si="442"/>
        <v>0</v>
      </c>
      <c r="BD143" s="25">
        <f>SUM(BD138:BD142)</f>
        <v>212</v>
      </c>
      <c r="BE143" s="21">
        <f t="shared" ref="BE143:BG143" si="443">SUM(BE137:BE142)</f>
        <v>0</v>
      </c>
      <c r="BF143" s="21">
        <f t="shared" si="443"/>
        <v>0</v>
      </c>
      <c r="BG143" s="21">
        <f t="shared" si="443"/>
        <v>0</v>
      </c>
      <c r="BH143" s="25">
        <f>SUM(BH138:BH142)</f>
        <v>212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35"/>
      <c r="B144" s="35" t="s">
        <v>35</v>
      </c>
      <c r="C144" s="35">
        <f>COUNT(C139:C142)</f>
        <v>4</v>
      </c>
      <c r="D144" s="35"/>
      <c r="E144" s="35">
        <f>SUM(E138:E142)</f>
        <v>215</v>
      </c>
      <c r="F144" s="35">
        <f>SUM(E138:E142)+1</f>
        <v>216</v>
      </c>
      <c r="G144" s="63">
        <f>$BH143/F144</f>
        <v>0.9814814815</v>
      </c>
      <c r="H144" s="39">
        <f t="shared" ref="H144:J144" si="444">SUM(H138:H142)</f>
        <v>133</v>
      </c>
      <c r="I144" s="39">
        <f t="shared" si="444"/>
        <v>136</v>
      </c>
      <c r="J144" s="39">
        <f t="shared" si="444"/>
        <v>3</v>
      </c>
      <c r="K144" s="35"/>
      <c r="L144" s="35"/>
      <c r="M144" s="35"/>
      <c r="N144" s="35"/>
      <c r="O144" s="35"/>
      <c r="P144" s="63">
        <f>P143/F144</f>
        <v>0.9490740741</v>
      </c>
      <c r="Q144" s="35">
        <f t="shared" ref="Q144:S144" si="445">M143+Q143</f>
        <v>1</v>
      </c>
      <c r="R144" s="35">
        <f t="shared" si="445"/>
        <v>70</v>
      </c>
      <c r="S144" s="35">
        <f t="shared" si="445"/>
        <v>2</v>
      </c>
      <c r="T144" s="63">
        <f>T143/F144</f>
        <v>0.9537037037</v>
      </c>
      <c r="U144" s="35">
        <f t="shared" ref="U144:W144" si="446">Q144+U143</f>
        <v>1</v>
      </c>
      <c r="V144" s="35">
        <f t="shared" si="446"/>
        <v>70</v>
      </c>
      <c r="W144" s="35">
        <f t="shared" si="446"/>
        <v>2</v>
      </c>
      <c r="X144" s="63">
        <f>X143/F144</f>
        <v>0.9537037037</v>
      </c>
      <c r="Y144" s="35">
        <f t="shared" ref="Y144:AA144" si="447">U144+Y143</f>
        <v>1</v>
      </c>
      <c r="Z144" s="35">
        <f t="shared" si="447"/>
        <v>70</v>
      </c>
      <c r="AA144" s="35">
        <f t="shared" si="447"/>
        <v>2</v>
      </c>
      <c r="AB144" s="63">
        <f>AB143/F144</f>
        <v>0.9537037037</v>
      </c>
      <c r="AC144" s="35">
        <f t="shared" ref="AC144:AE144" si="448">Y144+AC143</f>
        <v>1</v>
      </c>
      <c r="AD144" s="35">
        <f t="shared" si="448"/>
        <v>70</v>
      </c>
      <c r="AE144" s="35">
        <f t="shared" si="448"/>
        <v>2</v>
      </c>
      <c r="AF144" s="63">
        <f>AF143/F144</f>
        <v>0.9537037037</v>
      </c>
      <c r="AG144" s="35">
        <f t="shared" ref="AG144:AI144" si="449">AC144+AG143</f>
        <v>2</v>
      </c>
      <c r="AH144" s="35">
        <f t="shared" si="449"/>
        <v>70</v>
      </c>
      <c r="AI144" s="35">
        <f t="shared" si="449"/>
        <v>2</v>
      </c>
      <c r="AJ144" s="63">
        <f>AJ143/F144</f>
        <v>0.9583333333</v>
      </c>
      <c r="AK144" s="35">
        <f t="shared" ref="AK144:AM144" si="450">AG144+AK143</f>
        <v>3</v>
      </c>
      <c r="AL144" s="35">
        <f t="shared" si="450"/>
        <v>70</v>
      </c>
      <c r="AM144" s="35">
        <f t="shared" si="450"/>
        <v>2</v>
      </c>
      <c r="AN144" s="63">
        <f>AN143/F144</f>
        <v>0.962962963</v>
      </c>
      <c r="AO144" s="35">
        <f t="shared" ref="AO144:AQ144" si="451">AK144+AO143</f>
        <v>3</v>
      </c>
      <c r="AP144" s="35">
        <f t="shared" si="451"/>
        <v>70</v>
      </c>
      <c r="AQ144" s="35">
        <f t="shared" si="451"/>
        <v>2</v>
      </c>
      <c r="AR144" s="63">
        <f>AR143/F144</f>
        <v>0.962962963</v>
      </c>
      <c r="AS144" s="35">
        <f t="shared" ref="AS144:AU144" si="452">AO144+AS143</f>
        <v>3</v>
      </c>
      <c r="AT144" s="35">
        <f t="shared" si="452"/>
        <v>70</v>
      </c>
      <c r="AU144" s="35">
        <f t="shared" si="452"/>
        <v>3</v>
      </c>
      <c r="AV144" s="63">
        <f>AV143/F144</f>
        <v>0.9675925926</v>
      </c>
      <c r="AW144" s="35">
        <f t="shared" ref="AW144:AY144" si="453">AS144+AW143</f>
        <v>6</v>
      </c>
      <c r="AX144" s="35">
        <f t="shared" si="453"/>
        <v>70</v>
      </c>
      <c r="AY144" s="35">
        <f t="shared" si="453"/>
        <v>3</v>
      </c>
      <c r="AZ144" s="63">
        <f>AZ143/F144</f>
        <v>0.9814814815</v>
      </c>
      <c r="BA144" s="35">
        <f t="shared" ref="BA144:BC144" si="454">AW144+BA143</f>
        <v>6</v>
      </c>
      <c r="BB144" s="35">
        <f t="shared" si="454"/>
        <v>70</v>
      </c>
      <c r="BC144" s="35">
        <f t="shared" si="454"/>
        <v>3</v>
      </c>
      <c r="BD144" s="63">
        <f>BD143/F144</f>
        <v>0.9814814815</v>
      </c>
      <c r="BE144" s="35">
        <f t="shared" ref="BE144:BG144" si="455">BA144+BE143</f>
        <v>6</v>
      </c>
      <c r="BF144" s="35">
        <f t="shared" si="455"/>
        <v>70</v>
      </c>
      <c r="BG144" s="35">
        <f t="shared" si="455"/>
        <v>3</v>
      </c>
      <c r="BH144" s="63">
        <f>BH143/F144</f>
        <v>0.9814814815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/>
      <c r="B145" s="24"/>
      <c r="C145" s="24"/>
      <c r="D145" s="24"/>
      <c r="E145" s="24"/>
      <c r="F145" s="99"/>
      <c r="G145" s="28"/>
      <c r="H145" s="23"/>
      <c r="I145" s="23"/>
      <c r="J145" s="23"/>
      <c r="K145" s="24"/>
      <c r="L145" s="24"/>
      <c r="M145" s="24"/>
      <c r="N145" s="24"/>
      <c r="O145" s="24"/>
      <c r="P145" s="100"/>
      <c r="Q145" s="24"/>
      <c r="R145" s="24"/>
      <c r="S145" s="24"/>
      <c r="T145" s="21"/>
      <c r="U145" s="24"/>
      <c r="V145" s="24"/>
      <c r="W145" s="24"/>
      <c r="X145" s="21"/>
      <c r="Y145" s="24"/>
      <c r="Z145" s="24"/>
      <c r="AA145" s="24"/>
      <c r="AB145" s="21"/>
      <c r="AC145" s="24"/>
      <c r="AD145" s="24"/>
      <c r="AE145" s="24"/>
      <c r="AF145" s="21"/>
      <c r="AG145" s="24"/>
      <c r="AH145" s="24"/>
      <c r="AI145" s="24"/>
      <c r="AJ145" s="21"/>
      <c r="AK145" s="24"/>
      <c r="AL145" s="24"/>
      <c r="AM145" s="24"/>
      <c r="AN145" s="21"/>
      <c r="AO145" s="24"/>
      <c r="AP145" s="24"/>
      <c r="AQ145" s="24"/>
      <c r="AR145" s="21"/>
      <c r="AS145" s="24"/>
      <c r="AT145" s="24"/>
      <c r="AU145" s="24"/>
      <c r="AV145" s="21"/>
      <c r="AW145" s="24"/>
      <c r="AX145" s="24"/>
      <c r="AY145" s="24"/>
      <c r="AZ145" s="21"/>
      <c r="BA145" s="24"/>
      <c r="BB145" s="24"/>
      <c r="BC145" s="24"/>
      <c r="BD145" s="21"/>
      <c r="BE145" s="24"/>
      <c r="BF145" s="24"/>
      <c r="BG145" s="24"/>
      <c r="BH145" s="21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27" t="s">
        <v>133</v>
      </c>
      <c r="B146" s="24"/>
      <c r="C146" s="24"/>
      <c r="D146" s="24"/>
      <c r="E146" s="24"/>
      <c r="F146" s="99"/>
      <c r="G146" s="28"/>
      <c r="H146" s="23"/>
      <c r="I146" s="23"/>
      <c r="J146" s="23"/>
      <c r="K146" s="24">
        <v>2027.0</v>
      </c>
      <c r="L146" s="24">
        <v>2025.0</v>
      </c>
      <c r="M146" s="24"/>
      <c r="N146" s="24"/>
      <c r="O146" s="24"/>
      <c r="P146" s="100" t="str">
        <f>+H146</f>
        <v/>
      </c>
      <c r="Q146" s="24"/>
      <c r="R146" s="24"/>
      <c r="S146" s="24"/>
      <c r="T146" s="25">
        <f t="shared" ref="T146:T149" si="456">SUM(P146:S146)</f>
        <v>0</v>
      </c>
      <c r="U146" s="24"/>
      <c r="V146" s="24"/>
      <c r="W146" s="24"/>
      <c r="X146" s="25">
        <f t="shared" ref="X146:X149" si="457">SUM(T146:W146)</f>
        <v>0</v>
      </c>
      <c r="Y146" s="24"/>
      <c r="Z146" s="24"/>
      <c r="AA146" s="24"/>
      <c r="AB146" s="25">
        <f t="shared" ref="AB146:AB149" si="458">SUM(X146:AA146)</f>
        <v>0</v>
      </c>
      <c r="AC146" s="24"/>
      <c r="AD146" s="24"/>
      <c r="AE146" s="24"/>
      <c r="AF146" s="25">
        <f t="shared" ref="AF146:AF149" si="459">SUM(AB146:AE146)</f>
        <v>0</v>
      </c>
      <c r="AG146" s="24"/>
      <c r="AH146" s="24"/>
      <c r="AI146" s="24"/>
      <c r="AJ146" s="25">
        <f t="shared" ref="AJ146:AJ149" si="460">SUM(AF146:AI146)</f>
        <v>0</v>
      </c>
      <c r="AK146" s="24"/>
      <c r="AL146" s="24"/>
      <c r="AM146" s="24"/>
      <c r="AN146" s="25">
        <f t="shared" ref="AN146:AN149" si="461">SUM(AJ146:AM146)</f>
        <v>0</v>
      </c>
      <c r="AO146" s="24"/>
      <c r="AP146" s="24"/>
      <c r="AQ146" s="24"/>
      <c r="AR146" s="25">
        <f t="shared" ref="AR146:AR149" si="462">SUM(AN146:AQ146)</f>
        <v>0</v>
      </c>
      <c r="AS146" s="24"/>
      <c r="AT146" s="24"/>
      <c r="AU146" s="24"/>
      <c r="AV146" s="25">
        <f t="shared" ref="AV146:AV149" si="463">SUM(AR146:AU146)</f>
        <v>0</v>
      </c>
      <c r="AW146" s="24"/>
      <c r="AX146" s="24"/>
      <c r="AY146" s="24"/>
      <c r="AZ146" s="25">
        <f t="shared" ref="AZ146:AZ149" si="464">SUM(AV146:AY146)</f>
        <v>0</v>
      </c>
      <c r="BA146" s="24"/>
      <c r="BB146" s="24"/>
      <c r="BC146" s="24"/>
      <c r="BD146" s="25">
        <f t="shared" ref="BD146:BD149" si="465">SUM(AZ146:BC146)</f>
        <v>0</v>
      </c>
      <c r="BE146" s="24"/>
      <c r="BF146" s="24"/>
      <c r="BG146" s="24"/>
      <c r="BH146" s="25">
        <f t="shared" ref="BH146:BH149" si="466">SUM(BD146:BG146)</f>
        <v>0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134</v>
      </c>
      <c r="C147" s="35">
        <v>3.0</v>
      </c>
      <c r="D147" s="36">
        <v>6640.0</v>
      </c>
      <c r="E147" s="35">
        <v>46.0</v>
      </c>
      <c r="F147" s="101">
        <f t="shared" ref="F147:F149" si="467">E147+1</f>
        <v>47</v>
      </c>
      <c r="G147" s="37">
        <f t="shared" ref="G147:G150" si="468">$BH147/F147</f>
        <v>0.2340425532</v>
      </c>
      <c r="H147" s="38">
        <v>11.0</v>
      </c>
      <c r="I147" s="38">
        <f t="shared" ref="I147:I149" si="469">+H147+J147</f>
        <v>11</v>
      </c>
      <c r="J147" s="39"/>
      <c r="K147" s="40">
        <v>0.0</v>
      </c>
      <c r="L147" s="24">
        <v>2025.0</v>
      </c>
      <c r="M147" s="35"/>
      <c r="N147" s="35"/>
      <c r="O147" s="35"/>
      <c r="P147" s="102">
        <f t="shared" ref="P147:P149" si="470">SUM(M147:O147)+H147</f>
        <v>11</v>
      </c>
      <c r="Q147" s="35"/>
      <c r="R147" s="35"/>
      <c r="S147" s="35"/>
      <c r="T147" s="39">
        <f t="shared" si="456"/>
        <v>11</v>
      </c>
      <c r="U147" s="35"/>
      <c r="V147" s="35"/>
      <c r="W147" s="35"/>
      <c r="X147" s="39">
        <f t="shared" si="457"/>
        <v>11</v>
      </c>
      <c r="Y147" s="35"/>
      <c r="Z147" s="35"/>
      <c r="AA147" s="35"/>
      <c r="AB147" s="39">
        <f t="shared" si="458"/>
        <v>11</v>
      </c>
      <c r="AC147" s="35"/>
      <c r="AD147" s="35"/>
      <c r="AE147" s="35"/>
      <c r="AF147" s="39">
        <f t="shared" si="459"/>
        <v>11</v>
      </c>
      <c r="AG147" s="35"/>
      <c r="AH147" s="35"/>
      <c r="AI147" s="35"/>
      <c r="AJ147" s="39">
        <f t="shared" si="460"/>
        <v>11</v>
      </c>
      <c r="AK147" s="35"/>
      <c r="AL147" s="35"/>
      <c r="AM147" s="35"/>
      <c r="AN147" s="39">
        <f t="shared" si="461"/>
        <v>11</v>
      </c>
      <c r="AO147" s="35"/>
      <c r="AP147" s="35"/>
      <c r="AQ147" s="35"/>
      <c r="AR147" s="39">
        <f t="shared" si="462"/>
        <v>11</v>
      </c>
      <c r="AS147" s="35"/>
      <c r="AT147" s="35"/>
      <c r="AU147" s="35"/>
      <c r="AV147" s="39">
        <f t="shared" si="463"/>
        <v>11</v>
      </c>
      <c r="AW147" s="35"/>
      <c r="AX147" s="35"/>
      <c r="AY147" s="35"/>
      <c r="AZ147" s="39">
        <f t="shared" si="464"/>
        <v>11</v>
      </c>
      <c r="BA147" s="35"/>
      <c r="BB147" s="35"/>
      <c r="BC147" s="35"/>
      <c r="BD147" s="39">
        <f t="shared" si="465"/>
        <v>11</v>
      </c>
      <c r="BE147" s="35"/>
      <c r="BF147" s="35"/>
      <c r="BG147" s="35"/>
      <c r="BH147" s="39">
        <f t="shared" si="466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35" t="s">
        <v>135</v>
      </c>
      <c r="C148" s="35">
        <v>6.0</v>
      </c>
      <c r="D148" s="36">
        <v>5951.0</v>
      </c>
      <c r="E148" s="35">
        <v>36.0</v>
      </c>
      <c r="F148" s="101">
        <f t="shared" si="467"/>
        <v>37</v>
      </c>
      <c r="G148" s="37">
        <f t="shared" si="468"/>
        <v>0.9459459459</v>
      </c>
      <c r="H148" s="38">
        <v>10.0</v>
      </c>
      <c r="I148" s="38">
        <f t="shared" si="469"/>
        <v>10</v>
      </c>
      <c r="J148" s="39"/>
      <c r="K148" s="40">
        <v>2027.0</v>
      </c>
      <c r="L148" s="24">
        <v>2025.0</v>
      </c>
      <c r="M148" s="35"/>
      <c r="N148" s="35"/>
      <c r="O148" s="35"/>
      <c r="P148" s="102">
        <f t="shared" si="470"/>
        <v>10</v>
      </c>
      <c r="Q148" s="35"/>
      <c r="R148" s="35"/>
      <c r="S148" s="35"/>
      <c r="T148" s="39">
        <f t="shared" si="456"/>
        <v>10</v>
      </c>
      <c r="U148" s="35"/>
      <c r="V148" s="35"/>
      <c r="W148" s="35"/>
      <c r="X148" s="39">
        <f t="shared" si="457"/>
        <v>10</v>
      </c>
      <c r="Y148" s="35"/>
      <c r="Z148" s="35"/>
      <c r="AA148" s="35"/>
      <c r="AB148" s="39">
        <f t="shared" si="458"/>
        <v>10</v>
      </c>
      <c r="AC148" s="35"/>
      <c r="AD148" s="35"/>
      <c r="AE148" s="35"/>
      <c r="AF148" s="39">
        <f t="shared" si="459"/>
        <v>10</v>
      </c>
      <c r="AG148" s="35"/>
      <c r="AH148" s="35"/>
      <c r="AI148" s="35"/>
      <c r="AJ148" s="39">
        <f t="shared" si="460"/>
        <v>10</v>
      </c>
      <c r="AK148" s="35"/>
      <c r="AL148" s="35"/>
      <c r="AM148" s="35"/>
      <c r="AN148" s="39">
        <f t="shared" si="461"/>
        <v>10</v>
      </c>
      <c r="AO148" s="35"/>
      <c r="AP148" s="41">
        <v>24.0</v>
      </c>
      <c r="AQ148" s="35"/>
      <c r="AR148" s="39">
        <f t="shared" si="462"/>
        <v>34</v>
      </c>
      <c r="AS148" s="35"/>
      <c r="AT148" s="35"/>
      <c r="AU148" s="35"/>
      <c r="AV148" s="39">
        <f t="shared" si="463"/>
        <v>34</v>
      </c>
      <c r="AW148" s="35"/>
      <c r="AX148" s="35"/>
      <c r="AY148" s="35"/>
      <c r="AZ148" s="39">
        <f t="shared" si="464"/>
        <v>34</v>
      </c>
      <c r="BA148" s="35"/>
      <c r="BB148" s="35"/>
      <c r="BC148" s="35"/>
      <c r="BD148" s="39">
        <f t="shared" si="465"/>
        <v>34</v>
      </c>
      <c r="BE148" s="41">
        <v>1.0</v>
      </c>
      <c r="BF148" s="35"/>
      <c r="BG148" s="35"/>
      <c r="BH148" s="39">
        <f t="shared" si="466"/>
        <v>35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21" t="s">
        <v>136</v>
      </c>
      <c r="C149" s="21">
        <v>11.0</v>
      </c>
      <c r="D149" s="49">
        <v>8107.0</v>
      </c>
      <c r="E149" s="21">
        <v>34.0</v>
      </c>
      <c r="F149" s="101">
        <f t="shared" si="467"/>
        <v>35</v>
      </c>
      <c r="G149" s="28">
        <f t="shared" si="468"/>
        <v>0.3142857143</v>
      </c>
      <c r="H149" s="23">
        <v>11.0</v>
      </c>
      <c r="I149" s="23">
        <f t="shared" si="469"/>
        <v>11</v>
      </c>
      <c r="J149" s="25"/>
      <c r="K149" s="24">
        <v>2023.0</v>
      </c>
      <c r="L149" s="24">
        <v>2025.0</v>
      </c>
      <c r="M149" s="21"/>
      <c r="N149" s="21"/>
      <c r="O149" s="21"/>
      <c r="P149" s="98">
        <f t="shared" si="470"/>
        <v>11</v>
      </c>
      <c r="Q149" s="21"/>
      <c r="R149" s="21"/>
      <c r="S149" s="21"/>
      <c r="T149" s="25">
        <f t="shared" si="456"/>
        <v>11</v>
      </c>
      <c r="U149" s="21"/>
      <c r="V149" s="21"/>
      <c r="W149" s="21"/>
      <c r="X149" s="25">
        <f t="shared" si="457"/>
        <v>11</v>
      </c>
      <c r="Y149" s="21"/>
      <c r="Z149" s="21"/>
      <c r="AA149" s="21"/>
      <c r="AB149" s="25">
        <f t="shared" si="458"/>
        <v>11</v>
      </c>
      <c r="AC149" s="21"/>
      <c r="AD149" s="21"/>
      <c r="AE149" s="21"/>
      <c r="AF149" s="25">
        <f t="shared" si="459"/>
        <v>11</v>
      </c>
      <c r="AG149" s="21"/>
      <c r="AH149" s="21"/>
      <c r="AI149" s="21"/>
      <c r="AJ149" s="25">
        <f t="shared" si="460"/>
        <v>11</v>
      </c>
      <c r="AK149" s="21"/>
      <c r="AL149" s="21"/>
      <c r="AM149" s="21"/>
      <c r="AN149" s="25">
        <f t="shared" si="461"/>
        <v>11</v>
      </c>
      <c r="AO149" s="21"/>
      <c r="AP149" s="21"/>
      <c r="AQ149" s="21"/>
      <c r="AR149" s="25">
        <f t="shared" si="462"/>
        <v>11</v>
      </c>
      <c r="AS149" s="21"/>
      <c r="AT149" s="21"/>
      <c r="AU149" s="21"/>
      <c r="AV149" s="25">
        <f t="shared" si="463"/>
        <v>11</v>
      </c>
      <c r="AW149" s="21"/>
      <c r="AX149" s="21"/>
      <c r="AY149" s="21"/>
      <c r="AZ149" s="25">
        <f t="shared" si="464"/>
        <v>11</v>
      </c>
      <c r="BA149" s="21"/>
      <c r="BB149" s="21"/>
      <c r="BC149" s="21"/>
      <c r="BD149" s="25">
        <f t="shared" si="465"/>
        <v>11</v>
      </c>
      <c r="BE149" s="21"/>
      <c r="BF149" s="21"/>
      <c r="BG149" s="21"/>
      <c r="BH149" s="25">
        <f t="shared" si="466"/>
        <v>11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103" t="s">
        <v>137</v>
      </c>
      <c r="B150" s="104" t="s">
        <v>138</v>
      </c>
      <c r="C150" s="18">
        <v>19.0</v>
      </c>
      <c r="D150" s="49"/>
      <c r="E150" s="18">
        <v>14.0</v>
      </c>
      <c r="F150" s="105">
        <v>15.0</v>
      </c>
      <c r="G150" s="28">
        <f t="shared" si="468"/>
        <v>0</v>
      </c>
      <c r="H150" s="106">
        <v>16.0</v>
      </c>
      <c r="I150" s="23"/>
      <c r="J150" s="25"/>
      <c r="K150" s="24"/>
      <c r="L150" s="24"/>
      <c r="M150" s="21"/>
      <c r="N150" s="21"/>
      <c r="O150" s="21"/>
      <c r="P150" s="98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107"/>
      <c r="B151" s="107"/>
      <c r="C151" s="107"/>
      <c r="D151" s="107"/>
      <c r="E151" s="107"/>
      <c r="F151" s="107"/>
      <c r="G151" s="107"/>
      <c r="H151" s="108"/>
      <c r="I151" s="108"/>
      <c r="J151" s="108"/>
      <c r="K151" s="107"/>
      <c r="L151" s="107"/>
      <c r="M151" s="107"/>
      <c r="N151" s="107"/>
      <c r="O151" s="107"/>
      <c r="P151" s="108">
        <f t="shared" ref="P151:BH151" si="471">SUM(P146:P150)</f>
        <v>32</v>
      </c>
      <c r="Q151" s="21">
        <f t="shared" si="471"/>
        <v>0</v>
      </c>
      <c r="R151" s="21">
        <f t="shared" si="471"/>
        <v>0</v>
      </c>
      <c r="S151" s="21">
        <f t="shared" si="471"/>
        <v>0</v>
      </c>
      <c r="T151" s="25">
        <f t="shared" si="471"/>
        <v>32</v>
      </c>
      <c r="U151" s="21">
        <f t="shared" si="471"/>
        <v>0</v>
      </c>
      <c r="V151" s="21">
        <f t="shared" si="471"/>
        <v>0</v>
      </c>
      <c r="W151" s="21">
        <f t="shared" si="471"/>
        <v>0</v>
      </c>
      <c r="X151" s="25">
        <f t="shared" si="471"/>
        <v>32</v>
      </c>
      <c r="Y151" s="21">
        <f t="shared" si="471"/>
        <v>0</v>
      </c>
      <c r="Z151" s="21">
        <f t="shared" si="471"/>
        <v>0</v>
      </c>
      <c r="AA151" s="21">
        <f t="shared" si="471"/>
        <v>0</v>
      </c>
      <c r="AB151" s="25">
        <f t="shared" si="471"/>
        <v>32</v>
      </c>
      <c r="AC151" s="21">
        <f t="shared" si="471"/>
        <v>0</v>
      </c>
      <c r="AD151" s="21">
        <f t="shared" si="471"/>
        <v>0</v>
      </c>
      <c r="AE151" s="21">
        <f t="shared" si="471"/>
        <v>0</v>
      </c>
      <c r="AF151" s="25">
        <f t="shared" si="471"/>
        <v>32</v>
      </c>
      <c r="AG151" s="21">
        <f t="shared" si="471"/>
        <v>0</v>
      </c>
      <c r="AH151" s="21">
        <f t="shared" si="471"/>
        <v>0</v>
      </c>
      <c r="AI151" s="21">
        <f t="shared" si="471"/>
        <v>0</v>
      </c>
      <c r="AJ151" s="25">
        <f t="shared" si="471"/>
        <v>32</v>
      </c>
      <c r="AK151" s="21">
        <f t="shared" si="471"/>
        <v>0</v>
      </c>
      <c r="AL151" s="21">
        <f t="shared" si="471"/>
        <v>0</v>
      </c>
      <c r="AM151" s="21">
        <f t="shared" si="471"/>
        <v>0</v>
      </c>
      <c r="AN151" s="25">
        <f t="shared" si="471"/>
        <v>32</v>
      </c>
      <c r="AO151" s="21">
        <f t="shared" si="471"/>
        <v>0</v>
      </c>
      <c r="AP151" s="21">
        <f t="shared" si="471"/>
        <v>24</v>
      </c>
      <c r="AQ151" s="21">
        <f t="shared" si="471"/>
        <v>0</v>
      </c>
      <c r="AR151" s="25">
        <f t="shared" si="471"/>
        <v>56</v>
      </c>
      <c r="AS151" s="21">
        <f t="shared" si="471"/>
        <v>0</v>
      </c>
      <c r="AT151" s="21">
        <f t="shared" si="471"/>
        <v>0</v>
      </c>
      <c r="AU151" s="21">
        <f t="shared" si="471"/>
        <v>0</v>
      </c>
      <c r="AV151" s="25">
        <f t="shared" si="471"/>
        <v>56</v>
      </c>
      <c r="AW151" s="21">
        <f t="shared" si="471"/>
        <v>0</v>
      </c>
      <c r="AX151" s="21">
        <f t="shared" si="471"/>
        <v>0</v>
      </c>
      <c r="AY151" s="21">
        <f t="shared" si="471"/>
        <v>0</v>
      </c>
      <c r="AZ151" s="25">
        <f t="shared" si="471"/>
        <v>56</v>
      </c>
      <c r="BA151" s="21">
        <f t="shared" si="471"/>
        <v>0</v>
      </c>
      <c r="BB151" s="21">
        <f t="shared" si="471"/>
        <v>0</v>
      </c>
      <c r="BC151" s="21">
        <f t="shared" si="471"/>
        <v>0</v>
      </c>
      <c r="BD151" s="25">
        <f t="shared" si="471"/>
        <v>56</v>
      </c>
      <c r="BE151" s="21">
        <f t="shared" si="471"/>
        <v>1</v>
      </c>
      <c r="BF151" s="21">
        <f t="shared" si="471"/>
        <v>0</v>
      </c>
      <c r="BG151" s="21">
        <f t="shared" si="471"/>
        <v>0</v>
      </c>
      <c r="BH151" s="25">
        <f t="shared" si="471"/>
        <v>57</v>
      </c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</row>
    <row r="152">
      <c r="A152" s="35"/>
      <c r="B152" s="35" t="s">
        <v>35</v>
      </c>
      <c r="C152" s="35">
        <f>COUNT(C147:C150)</f>
        <v>4</v>
      </c>
      <c r="D152" s="35"/>
      <c r="E152" s="35">
        <f>SUM(E146:E150)</f>
        <v>130</v>
      </c>
      <c r="F152" s="35">
        <f>SUM(E146:E150)+1</f>
        <v>131</v>
      </c>
      <c r="G152" s="63">
        <f>$BH151/F152</f>
        <v>0.4351145038</v>
      </c>
      <c r="H152" s="39">
        <f t="shared" ref="H152:J152" si="472">SUM(H146:H150)</f>
        <v>48</v>
      </c>
      <c r="I152" s="39">
        <f t="shared" si="472"/>
        <v>32</v>
      </c>
      <c r="J152" s="39">
        <f t="shared" si="472"/>
        <v>0</v>
      </c>
      <c r="K152" s="35"/>
      <c r="L152" s="35"/>
      <c r="M152" s="35"/>
      <c r="N152" s="35"/>
      <c r="O152" s="35"/>
      <c r="P152" s="63">
        <f>P151/F152</f>
        <v>0.2442748092</v>
      </c>
      <c r="Q152" s="35">
        <f t="shared" ref="Q152:S152" si="473">M151+Q151</f>
        <v>0</v>
      </c>
      <c r="R152" s="35">
        <f t="shared" si="473"/>
        <v>0</v>
      </c>
      <c r="S152" s="35">
        <f t="shared" si="473"/>
        <v>0</v>
      </c>
      <c r="T152" s="63">
        <f>T151/F152</f>
        <v>0.2442748092</v>
      </c>
      <c r="U152" s="35">
        <f t="shared" ref="U152:W152" si="474">Q152+U151</f>
        <v>0</v>
      </c>
      <c r="V152" s="35">
        <f t="shared" si="474"/>
        <v>0</v>
      </c>
      <c r="W152" s="35">
        <f t="shared" si="474"/>
        <v>0</v>
      </c>
      <c r="X152" s="63">
        <f>X151/F152</f>
        <v>0.2442748092</v>
      </c>
      <c r="Y152" s="35">
        <f t="shared" ref="Y152:AA152" si="475">U152+Y151</f>
        <v>0</v>
      </c>
      <c r="Z152" s="35">
        <f t="shared" si="475"/>
        <v>0</v>
      </c>
      <c r="AA152" s="35">
        <f t="shared" si="475"/>
        <v>0</v>
      </c>
      <c r="AB152" s="63">
        <f>AB151/F152</f>
        <v>0.2442748092</v>
      </c>
      <c r="AC152" s="35">
        <f t="shared" ref="AC152:AE152" si="476">Y152+AC151</f>
        <v>0</v>
      </c>
      <c r="AD152" s="35">
        <f t="shared" si="476"/>
        <v>0</v>
      </c>
      <c r="AE152" s="35">
        <f t="shared" si="476"/>
        <v>0</v>
      </c>
      <c r="AF152" s="63">
        <f>AF151/F152</f>
        <v>0.2442748092</v>
      </c>
      <c r="AG152" s="35">
        <f t="shared" ref="AG152:AI152" si="477">AC152+AG151</f>
        <v>0</v>
      </c>
      <c r="AH152" s="35">
        <f t="shared" si="477"/>
        <v>0</v>
      </c>
      <c r="AI152" s="35">
        <f t="shared" si="477"/>
        <v>0</v>
      </c>
      <c r="AJ152" s="63">
        <f>AJ151/F152</f>
        <v>0.2442748092</v>
      </c>
      <c r="AK152" s="35">
        <f t="shared" ref="AK152:AM152" si="478">AG152+AK151</f>
        <v>0</v>
      </c>
      <c r="AL152" s="35">
        <f t="shared" si="478"/>
        <v>0</v>
      </c>
      <c r="AM152" s="35">
        <f t="shared" si="478"/>
        <v>0</v>
      </c>
      <c r="AN152" s="63">
        <f>AN151/F152</f>
        <v>0.2442748092</v>
      </c>
      <c r="AO152" s="35">
        <f t="shared" ref="AO152:AQ152" si="479">AK152+AO151</f>
        <v>0</v>
      </c>
      <c r="AP152" s="35">
        <f t="shared" si="479"/>
        <v>24</v>
      </c>
      <c r="AQ152" s="35">
        <f t="shared" si="479"/>
        <v>0</v>
      </c>
      <c r="AR152" s="63">
        <f>AR151/F152</f>
        <v>0.427480916</v>
      </c>
      <c r="AS152" s="35">
        <f t="shared" ref="AS152:AU152" si="480">AO152+AS151</f>
        <v>0</v>
      </c>
      <c r="AT152" s="35">
        <f t="shared" si="480"/>
        <v>24</v>
      </c>
      <c r="AU152" s="35">
        <f t="shared" si="480"/>
        <v>0</v>
      </c>
      <c r="AV152" s="63">
        <f>AV151/F152</f>
        <v>0.427480916</v>
      </c>
      <c r="AW152" s="35">
        <f t="shared" ref="AW152:AY152" si="481">AS152+AW151</f>
        <v>0</v>
      </c>
      <c r="AX152" s="35">
        <f t="shared" si="481"/>
        <v>24</v>
      </c>
      <c r="AY152" s="35">
        <f t="shared" si="481"/>
        <v>0</v>
      </c>
      <c r="AZ152" s="63">
        <f>AZ151/F152</f>
        <v>0.427480916</v>
      </c>
      <c r="BA152" s="35">
        <f t="shared" ref="BA152:BC152" si="482">AW152+BA151</f>
        <v>0</v>
      </c>
      <c r="BB152" s="35">
        <f t="shared" si="482"/>
        <v>24</v>
      </c>
      <c r="BC152" s="35">
        <f t="shared" si="482"/>
        <v>0</v>
      </c>
      <c r="BD152" s="63">
        <f>BD151/F152</f>
        <v>0.427480916</v>
      </c>
      <c r="BE152" s="35">
        <f t="shared" ref="BE152:BG152" si="483">BA152+BE151</f>
        <v>1</v>
      </c>
      <c r="BF152" s="35">
        <f t="shared" si="483"/>
        <v>24</v>
      </c>
      <c r="BG152" s="35">
        <f t="shared" si="483"/>
        <v>0</v>
      </c>
      <c r="BH152" s="63">
        <f>BH151/F152</f>
        <v>0.4351145038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3"/>
      <c r="B153" s="21"/>
      <c r="C153" s="21"/>
      <c r="D153" s="21"/>
      <c r="E153" s="21"/>
      <c r="F153" s="109"/>
      <c r="G153" s="22"/>
      <c r="H153" s="25"/>
      <c r="I153" s="25"/>
      <c r="J153" s="25"/>
      <c r="K153" s="21"/>
      <c r="L153" s="21"/>
      <c r="M153" s="21"/>
      <c r="N153" s="21"/>
      <c r="O153" s="21"/>
      <c r="P153" s="25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3" t="s">
        <v>139</v>
      </c>
      <c r="B154" s="21"/>
      <c r="C154" s="21"/>
      <c r="D154" s="21"/>
      <c r="E154" s="21"/>
      <c r="F154" s="109"/>
      <c r="G154" s="22"/>
      <c r="H154" s="25"/>
      <c r="I154" s="25"/>
      <c r="J154" s="25"/>
      <c r="K154" s="21">
        <v>2027.0</v>
      </c>
      <c r="L154" s="21">
        <v>2025.0</v>
      </c>
      <c r="M154" s="21"/>
      <c r="N154" s="21"/>
      <c r="O154" s="21"/>
      <c r="P154" s="25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1.0</v>
      </c>
      <c r="D155" s="35">
        <v>341.0</v>
      </c>
      <c r="E155" s="35">
        <v>36.0</v>
      </c>
      <c r="F155" s="101">
        <f t="shared" ref="F155:F162" si="484">E155+1</f>
        <v>37</v>
      </c>
      <c r="G155" s="63">
        <f t="shared" ref="G155:G162" si="485">$BH155/F155</f>
        <v>1.027027027</v>
      </c>
      <c r="H155" s="39">
        <v>16.0</v>
      </c>
      <c r="I155" s="39">
        <f t="shared" ref="I155:I162" si="486">+H155+J155</f>
        <v>17</v>
      </c>
      <c r="J155" s="39">
        <v>1.0</v>
      </c>
      <c r="K155" s="21">
        <v>2027.0</v>
      </c>
      <c r="L155" s="21">
        <v>2025.0</v>
      </c>
      <c r="M155" s="35"/>
      <c r="N155" s="41">
        <v>20.0</v>
      </c>
      <c r="O155" s="35"/>
      <c r="P155" s="39">
        <f t="shared" ref="P155:P162" si="487">SUM(M155:O155)+H155</f>
        <v>36</v>
      </c>
      <c r="Q155" s="35"/>
      <c r="R155" s="35"/>
      <c r="S155" s="35"/>
      <c r="T155" s="39">
        <f t="shared" ref="T155:T162" si="488">SUM(P155:S155)</f>
        <v>36</v>
      </c>
      <c r="U155" s="35">
        <v>1.0</v>
      </c>
      <c r="V155" s="35"/>
      <c r="W155" s="35"/>
      <c r="X155" s="39">
        <f t="shared" ref="X155:X162" si="489">SUM(T155:W155)</f>
        <v>37</v>
      </c>
      <c r="Y155" s="41">
        <v>1.0</v>
      </c>
      <c r="Z155" s="35"/>
      <c r="AA155" s="35"/>
      <c r="AB155" s="39">
        <f t="shared" ref="AB155:AB162" si="490">SUM(X155:AA155)</f>
        <v>38</v>
      </c>
      <c r="AC155" s="35"/>
      <c r="AD155" s="35"/>
      <c r="AE155" s="35"/>
      <c r="AF155" s="39">
        <f t="shared" ref="AF155:AF162" si="491">SUM(AB155:AE155)</f>
        <v>38</v>
      </c>
      <c r="AG155" s="35"/>
      <c r="AH155" s="35"/>
      <c r="AI155" s="35"/>
      <c r="AJ155" s="39">
        <f t="shared" ref="AJ155:AJ162" si="492">SUM(AF155:AI155)</f>
        <v>38</v>
      </c>
      <c r="AK155" s="35"/>
      <c r="AL155" s="35"/>
      <c r="AM155" s="35"/>
      <c r="AN155" s="39">
        <f t="shared" ref="AN155:AN162" si="493">SUM(AJ155:AM155)</f>
        <v>38</v>
      </c>
      <c r="AO155" s="35"/>
      <c r="AP155" s="35"/>
      <c r="AQ155" s="35"/>
      <c r="AR155" s="39">
        <f t="shared" ref="AR155:AR162" si="494">SUM(AN155:AQ155)</f>
        <v>38</v>
      </c>
      <c r="AS155" s="35"/>
      <c r="AT155" s="35"/>
      <c r="AU155" s="35"/>
      <c r="AV155" s="39">
        <f t="shared" ref="AV155:AV162" si="495">SUM(AR155:AU155)</f>
        <v>38</v>
      </c>
      <c r="AW155" s="35"/>
      <c r="AX155" s="35"/>
      <c r="AY155" s="35"/>
      <c r="AZ155" s="39">
        <f t="shared" ref="AZ155:AZ162" si="496">SUM(AV155:AY155)</f>
        <v>38</v>
      </c>
      <c r="BA155" s="35"/>
      <c r="BB155" s="35"/>
      <c r="BC155" s="35"/>
      <c r="BD155" s="39">
        <f t="shared" ref="BD155:BD162" si="497">SUM(AZ155:BC155)</f>
        <v>38</v>
      </c>
      <c r="BE155" s="35"/>
      <c r="BF155" s="35"/>
      <c r="BG155" s="35"/>
      <c r="BH155" s="39">
        <f t="shared" ref="BH155:BH162" si="498">SUM(BD155:BG155)</f>
        <v>38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21" t="s">
        <v>141</v>
      </c>
      <c r="C156" s="21">
        <v>3.0</v>
      </c>
      <c r="D156" s="21">
        <v>160.0</v>
      </c>
      <c r="E156" s="21">
        <v>76.0</v>
      </c>
      <c r="F156" s="101">
        <f t="shared" si="484"/>
        <v>77</v>
      </c>
      <c r="G156" s="22">
        <f t="shared" si="485"/>
        <v>1.038961039</v>
      </c>
      <c r="H156" s="25">
        <v>44.0</v>
      </c>
      <c r="I156" s="25">
        <f t="shared" si="486"/>
        <v>44</v>
      </c>
      <c r="J156" s="25"/>
      <c r="K156" s="21">
        <v>2027.0</v>
      </c>
      <c r="L156" s="21">
        <v>2025.0</v>
      </c>
      <c r="M156" s="21">
        <v>1.0</v>
      </c>
      <c r="N156" s="21">
        <v>33.0</v>
      </c>
      <c r="O156" s="21"/>
      <c r="P156" s="25">
        <f t="shared" si="487"/>
        <v>78</v>
      </c>
      <c r="Q156" s="21"/>
      <c r="R156" s="21"/>
      <c r="S156" s="21"/>
      <c r="T156" s="25">
        <f t="shared" si="488"/>
        <v>78</v>
      </c>
      <c r="U156" s="21"/>
      <c r="V156" s="21">
        <v>1.0</v>
      </c>
      <c r="W156" s="21"/>
      <c r="X156" s="25">
        <f t="shared" si="489"/>
        <v>79</v>
      </c>
      <c r="Y156" s="18">
        <v>1.0</v>
      </c>
      <c r="Z156" s="21"/>
      <c r="AA156" s="21"/>
      <c r="AB156" s="25">
        <f t="shared" si="490"/>
        <v>80</v>
      </c>
      <c r="AC156" s="21"/>
      <c r="AD156" s="21"/>
      <c r="AE156" s="21"/>
      <c r="AF156" s="25">
        <f t="shared" si="491"/>
        <v>80</v>
      </c>
      <c r="AG156" s="21"/>
      <c r="AH156" s="21"/>
      <c r="AI156" s="21"/>
      <c r="AJ156" s="25">
        <f t="shared" si="492"/>
        <v>80</v>
      </c>
      <c r="AK156" s="21"/>
      <c r="AL156" s="21"/>
      <c r="AM156" s="21"/>
      <c r="AN156" s="25">
        <f t="shared" si="493"/>
        <v>80</v>
      </c>
      <c r="AO156" s="21"/>
      <c r="AP156" s="21"/>
      <c r="AQ156" s="21"/>
      <c r="AR156" s="25">
        <f t="shared" si="494"/>
        <v>80</v>
      </c>
      <c r="AS156" s="21"/>
      <c r="AT156" s="21"/>
      <c r="AU156" s="21"/>
      <c r="AV156" s="25">
        <f t="shared" si="495"/>
        <v>80</v>
      </c>
      <c r="AW156" s="21"/>
      <c r="AX156" s="21"/>
      <c r="AY156" s="21"/>
      <c r="AZ156" s="25">
        <f t="shared" si="496"/>
        <v>80</v>
      </c>
      <c r="BA156" s="21"/>
      <c r="BB156" s="21"/>
      <c r="BC156" s="21"/>
      <c r="BD156" s="25">
        <f t="shared" si="497"/>
        <v>80</v>
      </c>
      <c r="BE156" s="21"/>
      <c r="BF156" s="21"/>
      <c r="BG156" s="21"/>
      <c r="BH156" s="25">
        <f t="shared" si="498"/>
        <v>80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21" t="s">
        <v>142</v>
      </c>
      <c r="C157" s="21">
        <v>4.0</v>
      </c>
      <c r="D157" s="21">
        <v>2621.0</v>
      </c>
      <c r="E157" s="21">
        <v>22.0</v>
      </c>
      <c r="F157" s="101">
        <f t="shared" si="484"/>
        <v>23</v>
      </c>
      <c r="G157" s="22">
        <f t="shared" si="485"/>
        <v>0.9565217391</v>
      </c>
      <c r="H157" s="25">
        <v>19.0</v>
      </c>
      <c r="I157" s="25">
        <f t="shared" si="486"/>
        <v>19</v>
      </c>
      <c r="J157" s="25"/>
      <c r="K157" s="21">
        <v>2027.0</v>
      </c>
      <c r="L157" s="21">
        <v>2025.0</v>
      </c>
      <c r="M157" s="21"/>
      <c r="N157" s="21"/>
      <c r="O157" s="21"/>
      <c r="P157" s="25">
        <f t="shared" si="487"/>
        <v>19</v>
      </c>
      <c r="Q157" s="21"/>
      <c r="R157" s="21"/>
      <c r="S157" s="21"/>
      <c r="T157" s="25">
        <f t="shared" si="488"/>
        <v>19</v>
      </c>
      <c r="U157" s="21"/>
      <c r="V157" s="21"/>
      <c r="W157" s="21"/>
      <c r="X157" s="25">
        <f t="shared" si="489"/>
        <v>19</v>
      </c>
      <c r="Y157" s="18">
        <v>3.0</v>
      </c>
      <c r="Z157" s="21"/>
      <c r="AA157" s="21"/>
      <c r="AB157" s="25">
        <f t="shared" si="490"/>
        <v>22</v>
      </c>
      <c r="AC157" s="21"/>
      <c r="AD157" s="21"/>
      <c r="AE157" s="21"/>
      <c r="AF157" s="25">
        <f t="shared" si="491"/>
        <v>22</v>
      </c>
      <c r="AG157" s="21"/>
      <c r="AH157" s="21"/>
      <c r="AI157" s="21"/>
      <c r="AJ157" s="25">
        <f t="shared" si="492"/>
        <v>22</v>
      </c>
      <c r="AK157" s="21"/>
      <c r="AL157" s="21"/>
      <c r="AM157" s="21"/>
      <c r="AN157" s="25">
        <f t="shared" si="493"/>
        <v>22</v>
      </c>
      <c r="AO157" s="21"/>
      <c r="AP157" s="21"/>
      <c r="AQ157" s="21"/>
      <c r="AR157" s="25">
        <f t="shared" si="494"/>
        <v>22</v>
      </c>
      <c r="AS157" s="21"/>
      <c r="AT157" s="21"/>
      <c r="AU157" s="21"/>
      <c r="AV157" s="25">
        <f t="shared" si="495"/>
        <v>22</v>
      </c>
      <c r="AW157" s="21"/>
      <c r="AX157" s="21"/>
      <c r="AY157" s="21"/>
      <c r="AZ157" s="25">
        <f t="shared" si="496"/>
        <v>22</v>
      </c>
      <c r="BA157" s="21"/>
      <c r="BB157" s="21"/>
      <c r="BC157" s="21"/>
      <c r="BD157" s="25">
        <f t="shared" si="497"/>
        <v>22</v>
      </c>
      <c r="BE157" s="21"/>
      <c r="BF157" s="21"/>
      <c r="BG157" s="21"/>
      <c r="BH157" s="25">
        <f t="shared" si="498"/>
        <v>22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6.0</v>
      </c>
      <c r="D158" s="35">
        <v>5118.0</v>
      </c>
      <c r="E158" s="35">
        <v>32.0</v>
      </c>
      <c r="F158" s="101">
        <f t="shared" si="484"/>
        <v>33</v>
      </c>
      <c r="G158" s="63">
        <f t="shared" si="485"/>
        <v>0.9393939394</v>
      </c>
      <c r="H158" s="39">
        <v>16.0</v>
      </c>
      <c r="I158" s="39">
        <f t="shared" si="486"/>
        <v>17</v>
      </c>
      <c r="J158" s="73">
        <v>1.0</v>
      </c>
      <c r="K158" s="21">
        <v>2027.0</v>
      </c>
      <c r="L158" s="21">
        <v>2025.0</v>
      </c>
      <c r="M158" s="35"/>
      <c r="N158" s="35"/>
      <c r="O158" s="35"/>
      <c r="P158" s="39">
        <f t="shared" si="487"/>
        <v>16</v>
      </c>
      <c r="Q158" s="35"/>
      <c r="R158" s="35"/>
      <c r="S158" s="35"/>
      <c r="T158" s="39">
        <f t="shared" si="488"/>
        <v>16</v>
      </c>
      <c r="U158" s="35"/>
      <c r="V158" s="35"/>
      <c r="W158" s="35"/>
      <c r="X158" s="39">
        <f t="shared" si="489"/>
        <v>16</v>
      </c>
      <c r="Y158" s="35"/>
      <c r="Z158" s="35">
        <v>15.0</v>
      </c>
      <c r="AA158" s="35"/>
      <c r="AB158" s="39">
        <f t="shared" si="490"/>
        <v>31</v>
      </c>
      <c r="AC158" s="35"/>
      <c r="AD158" s="35"/>
      <c r="AE158" s="35"/>
      <c r="AF158" s="39">
        <f t="shared" si="491"/>
        <v>31</v>
      </c>
      <c r="AG158" s="35"/>
      <c r="AH158" s="35"/>
      <c r="AI158" s="35"/>
      <c r="AJ158" s="39">
        <f t="shared" si="492"/>
        <v>31</v>
      </c>
      <c r="AK158" s="35"/>
      <c r="AL158" s="35"/>
      <c r="AM158" s="35"/>
      <c r="AN158" s="39">
        <f t="shared" si="493"/>
        <v>31</v>
      </c>
      <c r="AO158" s="35"/>
      <c r="AP158" s="35"/>
      <c r="AQ158" s="35"/>
      <c r="AR158" s="39">
        <f t="shared" si="494"/>
        <v>31</v>
      </c>
      <c r="AS158" s="35"/>
      <c r="AT158" s="35"/>
      <c r="AU158" s="35"/>
      <c r="AV158" s="39">
        <f t="shared" si="495"/>
        <v>31</v>
      </c>
      <c r="AW158" s="35"/>
      <c r="AX158" s="35"/>
      <c r="AY158" s="35"/>
      <c r="AZ158" s="39">
        <f t="shared" si="496"/>
        <v>31</v>
      </c>
      <c r="BA158" s="35"/>
      <c r="BB158" s="35"/>
      <c r="BC158" s="35"/>
      <c r="BD158" s="39">
        <f t="shared" si="497"/>
        <v>31</v>
      </c>
      <c r="BE158" s="35"/>
      <c r="BF158" s="35"/>
      <c r="BG158" s="35"/>
      <c r="BH158" s="39">
        <f t="shared" si="498"/>
        <v>31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10.0</v>
      </c>
      <c r="D159" s="35">
        <v>6054.0</v>
      </c>
      <c r="E159" s="35">
        <v>30.0</v>
      </c>
      <c r="F159" s="101">
        <f t="shared" si="484"/>
        <v>31</v>
      </c>
      <c r="G159" s="63">
        <f t="shared" si="485"/>
        <v>0.9677419355</v>
      </c>
      <c r="H159" s="39">
        <v>26.0</v>
      </c>
      <c r="I159" s="39">
        <f t="shared" si="486"/>
        <v>26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7"/>
        <v>26</v>
      </c>
      <c r="Q159" s="35"/>
      <c r="R159" s="35">
        <v>4.0</v>
      </c>
      <c r="S159" s="35"/>
      <c r="T159" s="39">
        <f t="shared" si="488"/>
        <v>30</v>
      </c>
      <c r="U159" s="35"/>
      <c r="V159" s="35"/>
      <c r="W159" s="35"/>
      <c r="X159" s="39">
        <f t="shared" si="489"/>
        <v>30</v>
      </c>
      <c r="Y159" s="35"/>
      <c r="Z159" s="35"/>
      <c r="AA159" s="35"/>
      <c r="AB159" s="39">
        <f t="shared" si="490"/>
        <v>30</v>
      </c>
      <c r="AC159" s="35"/>
      <c r="AD159" s="35"/>
      <c r="AE159" s="35"/>
      <c r="AF159" s="39">
        <f t="shared" si="491"/>
        <v>30</v>
      </c>
      <c r="AG159" s="35"/>
      <c r="AH159" s="35"/>
      <c r="AI159" s="35"/>
      <c r="AJ159" s="39">
        <f t="shared" si="492"/>
        <v>30</v>
      </c>
      <c r="AK159" s="35"/>
      <c r="AL159" s="35"/>
      <c r="AM159" s="35"/>
      <c r="AN159" s="39">
        <f t="shared" si="493"/>
        <v>30</v>
      </c>
      <c r="AO159" s="35"/>
      <c r="AP159" s="35"/>
      <c r="AQ159" s="35"/>
      <c r="AR159" s="39">
        <f t="shared" si="494"/>
        <v>30</v>
      </c>
      <c r="AS159" s="35"/>
      <c r="AT159" s="35"/>
      <c r="AU159" s="35"/>
      <c r="AV159" s="39">
        <f t="shared" si="495"/>
        <v>30</v>
      </c>
      <c r="AW159" s="35"/>
      <c r="AX159" s="35"/>
      <c r="AY159" s="35"/>
      <c r="AZ159" s="39">
        <f t="shared" si="496"/>
        <v>30</v>
      </c>
      <c r="BA159" s="35"/>
      <c r="BB159" s="35"/>
      <c r="BC159" s="35"/>
      <c r="BD159" s="39">
        <f t="shared" si="497"/>
        <v>30</v>
      </c>
      <c r="BE159" s="35"/>
      <c r="BF159" s="35"/>
      <c r="BG159" s="35"/>
      <c r="BH159" s="39">
        <f t="shared" si="498"/>
        <v>30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110" t="s">
        <v>145</v>
      </c>
      <c r="C160" s="35">
        <v>16.0</v>
      </c>
      <c r="D160" s="35">
        <v>8509.0</v>
      </c>
      <c r="E160" s="35">
        <v>16.0</v>
      </c>
      <c r="F160" s="101">
        <f t="shared" si="484"/>
        <v>17</v>
      </c>
      <c r="G160" s="63">
        <f t="shared" si="485"/>
        <v>0.9411764706</v>
      </c>
      <c r="H160" s="39">
        <v>4.0</v>
      </c>
      <c r="I160" s="39">
        <f t="shared" si="486"/>
        <v>4</v>
      </c>
      <c r="J160" s="39"/>
      <c r="K160" s="21">
        <v>2027.0</v>
      </c>
      <c r="L160" s="21">
        <v>2025.0</v>
      </c>
      <c r="M160" s="35"/>
      <c r="N160" s="35">
        <v>11.0</v>
      </c>
      <c r="O160" s="35"/>
      <c r="P160" s="39">
        <f t="shared" si="487"/>
        <v>15</v>
      </c>
      <c r="Q160" s="35"/>
      <c r="R160" s="35"/>
      <c r="S160" s="35"/>
      <c r="T160" s="39">
        <f t="shared" si="488"/>
        <v>15</v>
      </c>
      <c r="U160" s="35"/>
      <c r="V160" s="35"/>
      <c r="W160" s="35"/>
      <c r="X160" s="39">
        <f t="shared" si="489"/>
        <v>15</v>
      </c>
      <c r="Y160" s="35"/>
      <c r="Z160" s="35"/>
      <c r="AA160" s="35"/>
      <c r="AB160" s="39">
        <f t="shared" si="490"/>
        <v>15</v>
      </c>
      <c r="AC160" s="35"/>
      <c r="AD160" s="35"/>
      <c r="AE160" s="35"/>
      <c r="AF160" s="39">
        <f t="shared" si="491"/>
        <v>15</v>
      </c>
      <c r="AG160" s="41">
        <v>1.0</v>
      </c>
      <c r="AH160" s="35"/>
      <c r="AI160" s="35"/>
      <c r="AJ160" s="39">
        <f t="shared" si="492"/>
        <v>16</v>
      </c>
      <c r="AK160" s="35"/>
      <c r="AL160" s="35"/>
      <c r="AM160" s="35"/>
      <c r="AN160" s="39">
        <f t="shared" si="493"/>
        <v>16</v>
      </c>
      <c r="AO160" s="35"/>
      <c r="AP160" s="35"/>
      <c r="AQ160" s="35"/>
      <c r="AR160" s="39">
        <f t="shared" si="494"/>
        <v>16</v>
      </c>
      <c r="AS160" s="35"/>
      <c r="AT160" s="35"/>
      <c r="AU160" s="35"/>
      <c r="AV160" s="39">
        <f t="shared" si="495"/>
        <v>16</v>
      </c>
      <c r="AW160" s="35"/>
      <c r="AX160" s="35"/>
      <c r="AY160" s="35"/>
      <c r="AZ160" s="39">
        <f t="shared" si="496"/>
        <v>16</v>
      </c>
      <c r="BA160" s="35"/>
      <c r="BB160" s="35"/>
      <c r="BC160" s="35"/>
      <c r="BD160" s="39">
        <f t="shared" si="497"/>
        <v>16</v>
      </c>
      <c r="BE160" s="35"/>
      <c r="BF160" s="35"/>
      <c r="BG160" s="35"/>
      <c r="BH160" s="39">
        <f t="shared" si="498"/>
        <v>16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146</v>
      </c>
      <c r="C161" s="35">
        <v>17.0</v>
      </c>
      <c r="D161" s="35">
        <v>8950.0</v>
      </c>
      <c r="E161" s="35">
        <v>43.0</v>
      </c>
      <c r="F161" s="101">
        <f t="shared" si="484"/>
        <v>44</v>
      </c>
      <c r="G161" s="63">
        <f t="shared" si="485"/>
        <v>0.9545454545</v>
      </c>
      <c r="H161" s="39">
        <v>31.0</v>
      </c>
      <c r="I161" s="39">
        <f t="shared" si="486"/>
        <v>32</v>
      </c>
      <c r="J161" s="73">
        <v>1.0</v>
      </c>
      <c r="K161" s="21">
        <v>2027.0</v>
      </c>
      <c r="L161" s="21">
        <v>2025.0</v>
      </c>
      <c r="M161" s="35"/>
      <c r="N161" s="35">
        <v>2.0</v>
      </c>
      <c r="O161" s="35"/>
      <c r="P161" s="39">
        <f t="shared" si="487"/>
        <v>33</v>
      </c>
      <c r="Q161" s="35"/>
      <c r="R161" s="41">
        <v>2.0</v>
      </c>
      <c r="S161" s="35"/>
      <c r="T161" s="39">
        <f t="shared" si="488"/>
        <v>35</v>
      </c>
      <c r="U161" s="35"/>
      <c r="V161" s="35"/>
      <c r="W161" s="35"/>
      <c r="X161" s="39">
        <f t="shared" si="489"/>
        <v>35</v>
      </c>
      <c r="Y161" s="35"/>
      <c r="Z161" s="35"/>
      <c r="AA161" s="35"/>
      <c r="AB161" s="39">
        <f t="shared" si="490"/>
        <v>35</v>
      </c>
      <c r="AC161" s="35"/>
      <c r="AD161" s="41">
        <v>7.0</v>
      </c>
      <c r="AE161" s="35"/>
      <c r="AF161" s="39">
        <f t="shared" si="491"/>
        <v>42</v>
      </c>
      <c r="AG161" s="35"/>
      <c r="AH161" s="35"/>
      <c r="AI161" s="35"/>
      <c r="AJ161" s="39">
        <f t="shared" si="492"/>
        <v>42</v>
      </c>
      <c r="AK161" s="35"/>
      <c r="AL161" s="35"/>
      <c r="AM161" s="35"/>
      <c r="AN161" s="39">
        <f t="shared" si="493"/>
        <v>42</v>
      </c>
      <c r="AO161" s="35"/>
      <c r="AP161" s="35"/>
      <c r="AQ161" s="35"/>
      <c r="AR161" s="39">
        <f t="shared" si="494"/>
        <v>42</v>
      </c>
      <c r="AS161" s="35"/>
      <c r="AT161" s="35"/>
      <c r="AU161" s="35"/>
      <c r="AV161" s="39">
        <f t="shared" si="495"/>
        <v>42</v>
      </c>
      <c r="AW161" s="35"/>
      <c r="AX161" s="35"/>
      <c r="AY161" s="35"/>
      <c r="AZ161" s="39">
        <f t="shared" si="496"/>
        <v>42</v>
      </c>
      <c r="BA161" s="35"/>
      <c r="BB161" s="35"/>
      <c r="BC161" s="35"/>
      <c r="BD161" s="39">
        <f t="shared" si="497"/>
        <v>42</v>
      </c>
      <c r="BE161" s="35"/>
      <c r="BF161" s="35"/>
      <c r="BG161" s="35"/>
      <c r="BH161" s="39">
        <f t="shared" si="498"/>
        <v>42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147</v>
      </c>
      <c r="C162" s="35">
        <v>27.0</v>
      </c>
      <c r="D162" s="35">
        <v>10159.0</v>
      </c>
      <c r="E162" s="35">
        <v>31.0</v>
      </c>
      <c r="F162" s="101">
        <f t="shared" si="484"/>
        <v>32</v>
      </c>
      <c r="G162" s="63">
        <f t="shared" si="485"/>
        <v>0.96875</v>
      </c>
      <c r="H162" s="39">
        <v>17.0</v>
      </c>
      <c r="I162" s="39">
        <f t="shared" si="486"/>
        <v>17</v>
      </c>
      <c r="J162" s="39"/>
      <c r="K162" s="21">
        <v>2027.0</v>
      </c>
      <c r="L162" s="21">
        <v>2025.0</v>
      </c>
      <c r="M162" s="35"/>
      <c r="N162" s="35"/>
      <c r="O162" s="35"/>
      <c r="P162" s="39">
        <f t="shared" si="487"/>
        <v>17</v>
      </c>
      <c r="Q162" s="35"/>
      <c r="R162" s="35"/>
      <c r="S162" s="35"/>
      <c r="T162" s="39">
        <f t="shared" si="488"/>
        <v>17</v>
      </c>
      <c r="U162" s="35"/>
      <c r="V162" s="35"/>
      <c r="W162" s="35"/>
      <c r="X162" s="39">
        <f t="shared" si="489"/>
        <v>17</v>
      </c>
      <c r="Y162" s="35"/>
      <c r="Z162" s="35">
        <v>14.0</v>
      </c>
      <c r="AA162" s="35"/>
      <c r="AB162" s="39">
        <f t="shared" si="490"/>
        <v>31</v>
      </c>
      <c r="AC162" s="35"/>
      <c r="AD162" s="35"/>
      <c r="AE162" s="35"/>
      <c r="AF162" s="39">
        <f t="shared" si="491"/>
        <v>31</v>
      </c>
      <c r="AG162" s="35"/>
      <c r="AH162" s="35"/>
      <c r="AI162" s="35"/>
      <c r="AJ162" s="39">
        <f t="shared" si="492"/>
        <v>31</v>
      </c>
      <c r="AK162" s="35"/>
      <c r="AL162" s="35"/>
      <c r="AM162" s="35"/>
      <c r="AN162" s="39">
        <f t="shared" si="493"/>
        <v>31</v>
      </c>
      <c r="AO162" s="35"/>
      <c r="AP162" s="35"/>
      <c r="AQ162" s="35"/>
      <c r="AR162" s="39">
        <f t="shared" si="494"/>
        <v>31</v>
      </c>
      <c r="AS162" s="35"/>
      <c r="AT162" s="35"/>
      <c r="AU162" s="35"/>
      <c r="AV162" s="39">
        <f t="shared" si="495"/>
        <v>31</v>
      </c>
      <c r="AW162" s="35"/>
      <c r="AX162" s="35"/>
      <c r="AY162" s="35"/>
      <c r="AZ162" s="39">
        <f t="shared" si="496"/>
        <v>31</v>
      </c>
      <c r="BA162" s="35"/>
      <c r="BB162" s="35"/>
      <c r="BC162" s="35"/>
      <c r="BD162" s="39">
        <f t="shared" si="497"/>
        <v>31</v>
      </c>
      <c r="BE162" s="35"/>
      <c r="BF162" s="35"/>
      <c r="BG162" s="35"/>
      <c r="BH162" s="39">
        <f t="shared" si="498"/>
        <v>31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5"/>
      <c r="B163" s="35"/>
      <c r="C163" s="35"/>
      <c r="D163" s="35"/>
      <c r="E163" s="35"/>
      <c r="F163" s="35"/>
      <c r="G163" s="35"/>
      <c r="H163" s="39"/>
      <c r="I163" s="39"/>
      <c r="J163" s="39"/>
      <c r="K163" s="35"/>
      <c r="L163" s="35"/>
      <c r="M163" s="35">
        <f t="shared" ref="M163:O163" si="499">SUM(M156:M162)</f>
        <v>1</v>
      </c>
      <c r="N163" s="35">
        <f t="shared" si="499"/>
        <v>46</v>
      </c>
      <c r="O163" s="35">
        <f t="shared" si="499"/>
        <v>0</v>
      </c>
      <c r="P163" s="39">
        <f t="shared" ref="P163:BH163" si="500">SUM(P154:P162)</f>
        <v>240</v>
      </c>
      <c r="Q163" s="39">
        <f t="shared" si="500"/>
        <v>0</v>
      </c>
      <c r="R163" s="39">
        <f t="shared" si="500"/>
        <v>6</v>
      </c>
      <c r="S163" s="39">
        <f t="shared" si="500"/>
        <v>0</v>
      </c>
      <c r="T163" s="39">
        <f t="shared" si="500"/>
        <v>246</v>
      </c>
      <c r="U163" s="39">
        <f t="shared" si="500"/>
        <v>1</v>
      </c>
      <c r="V163" s="39">
        <f t="shared" si="500"/>
        <v>1</v>
      </c>
      <c r="W163" s="39">
        <f t="shared" si="500"/>
        <v>0</v>
      </c>
      <c r="X163" s="39">
        <f t="shared" si="500"/>
        <v>248</v>
      </c>
      <c r="Y163" s="39">
        <f t="shared" si="500"/>
        <v>5</v>
      </c>
      <c r="Z163" s="39">
        <f t="shared" si="500"/>
        <v>29</v>
      </c>
      <c r="AA163" s="39">
        <f t="shared" si="500"/>
        <v>0</v>
      </c>
      <c r="AB163" s="39">
        <f t="shared" si="500"/>
        <v>282</v>
      </c>
      <c r="AC163" s="39">
        <f t="shared" si="500"/>
        <v>0</v>
      </c>
      <c r="AD163" s="39">
        <f t="shared" si="500"/>
        <v>7</v>
      </c>
      <c r="AE163" s="39">
        <f t="shared" si="500"/>
        <v>0</v>
      </c>
      <c r="AF163" s="39">
        <f t="shared" si="500"/>
        <v>289</v>
      </c>
      <c r="AG163" s="39">
        <f t="shared" si="500"/>
        <v>1</v>
      </c>
      <c r="AH163" s="39">
        <f t="shared" si="500"/>
        <v>0</v>
      </c>
      <c r="AI163" s="39">
        <f t="shared" si="500"/>
        <v>0</v>
      </c>
      <c r="AJ163" s="39">
        <f t="shared" si="500"/>
        <v>290</v>
      </c>
      <c r="AK163" s="39">
        <f t="shared" si="500"/>
        <v>0</v>
      </c>
      <c r="AL163" s="39">
        <f t="shared" si="500"/>
        <v>0</v>
      </c>
      <c r="AM163" s="39">
        <f t="shared" si="500"/>
        <v>0</v>
      </c>
      <c r="AN163" s="39">
        <f t="shared" si="500"/>
        <v>290</v>
      </c>
      <c r="AO163" s="39">
        <f t="shared" si="500"/>
        <v>0</v>
      </c>
      <c r="AP163" s="39">
        <f t="shared" si="500"/>
        <v>0</v>
      </c>
      <c r="AQ163" s="39">
        <f t="shared" si="500"/>
        <v>0</v>
      </c>
      <c r="AR163" s="39">
        <f t="shared" si="500"/>
        <v>290</v>
      </c>
      <c r="AS163" s="39">
        <f t="shared" si="500"/>
        <v>0</v>
      </c>
      <c r="AT163" s="39">
        <f t="shared" si="500"/>
        <v>0</v>
      </c>
      <c r="AU163" s="39">
        <f t="shared" si="500"/>
        <v>0</v>
      </c>
      <c r="AV163" s="39">
        <f t="shared" si="500"/>
        <v>290</v>
      </c>
      <c r="AW163" s="39">
        <f t="shared" si="500"/>
        <v>0</v>
      </c>
      <c r="AX163" s="39">
        <f t="shared" si="500"/>
        <v>0</v>
      </c>
      <c r="AY163" s="39">
        <f t="shared" si="500"/>
        <v>0</v>
      </c>
      <c r="AZ163" s="39">
        <f t="shared" si="500"/>
        <v>290</v>
      </c>
      <c r="BA163" s="39">
        <f t="shared" si="500"/>
        <v>0</v>
      </c>
      <c r="BB163" s="39">
        <f t="shared" si="500"/>
        <v>0</v>
      </c>
      <c r="BC163" s="39">
        <f t="shared" si="500"/>
        <v>0</v>
      </c>
      <c r="BD163" s="39">
        <f t="shared" si="500"/>
        <v>290</v>
      </c>
      <c r="BE163" s="39">
        <f t="shared" si="500"/>
        <v>0</v>
      </c>
      <c r="BF163" s="39">
        <f t="shared" si="500"/>
        <v>0</v>
      </c>
      <c r="BG163" s="39">
        <f t="shared" si="500"/>
        <v>0</v>
      </c>
      <c r="BH163" s="39">
        <f t="shared" si="500"/>
        <v>290</v>
      </c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5"/>
      <c r="B164" s="35" t="s">
        <v>35</v>
      </c>
      <c r="C164" s="35">
        <f>COUNT(C155:C162)</f>
        <v>8</v>
      </c>
      <c r="D164" s="35"/>
      <c r="E164" s="35">
        <f>SUM(E154:E162)</f>
        <v>286</v>
      </c>
      <c r="F164" s="35">
        <f>SUM(E154:E162)+1</f>
        <v>287</v>
      </c>
      <c r="G164" s="63">
        <f>$BH163/F164</f>
        <v>1.010452962</v>
      </c>
      <c r="H164" s="39">
        <f t="shared" ref="H164:J164" si="501">SUM(H154:H162)</f>
        <v>173</v>
      </c>
      <c r="I164" s="39">
        <f t="shared" si="501"/>
        <v>176</v>
      </c>
      <c r="J164" s="39">
        <f t="shared" si="501"/>
        <v>3</v>
      </c>
      <c r="K164" s="35"/>
      <c r="L164" s="35"/>
      <c r="M164" s="35"/>
      <c r="N164" s="35"/>
      <c r="O164" s="35"/>
      <c r="P164" s="63">
        <f>P163/F164</f>
        <v>0.8362369338</v>
      </c>
      <c r="Q164" s="39">
        <f t="shared" ref="Q164:S164" si="502">M163+Q163</f>
        <v>1</v>
      </c>
      <c r="R164" s="39">
        <f t="shared" si="502"/>
        <v>52</v>
      </c>
      <c r="S164" s="39">
        <f t="shared" si="502"/>
        <v>0</v>
      </c>
      <c r="T164" s="63">
        <f>T163/F164</f>
        <v>0.8571428571</v>
      </c>
      <c r="U164" s="39">
        <f t="shared" ref="U164:W164" si="503">Q164+U163</f>
        <v>2</v>
      </c>
      <c r="V164" s="39">
        <f t="shared" si="503"/>
        <v>53</v>
      </c>
      <c r="W164" s="39">
        <f t="shared" si="503"/>
        <v>0</v>
      </c>
      <c r="X164" s="63">
        <f>X163/F164</f>
        <v>0.8641114983</v>
      </c>
      <c r="Y164" s="39">
        <f t="shared" ref="Y164:AA164" si="504">U164+Y163</f>
        <v>7</v>
      </c>
      <c r="Z164" s="39">
        <f t="shared" si="504"/>
        <v>82</v>
      </c>
      <c r="AA164" s="39">
        <f t="shared" si="504"/>
        <v>0</v>
      </c>
      <c r="AB164" s="63">
        <f>AB163/F164</f>
        <v>0.9825783972</v>
      </c>
      <c r="AC164" s="39">
        <f t="shared" ref="AC164:AE164" si="505">Y164+AC163</f>
        <v>7</v>
      </c>
      <c r="AD164" s="39">
        <f t="shared" si="505"/>
        <v>89</v>
      </c>
      <c r="AE164" s="39">
        <f t="shared" si="505"/>
        <v>0</v>
      </c>
      <c r="AF164" s="63">
        <f>AF163/F164</f>
        <v>1.006968641</v>
      </c>
      <c r="AG164" s="39">
        <f t="shared" ref="AG164:AI164" si="506">AC164+AG163</f>
        <v>8</v>
      </c>
      <c r="AH164" s="39">
        <f t="shared" si="506"/>
        <v>89</v>
      </c>
      <c r="AI164" s="39">
        <f t="shared" si="506"/>
        <v>0</v>
      </c>
      <c r="AJ164" s="63">
        <f>AJ163/F164</f>
        <v>1.010452962</v>
      </c>
      <c r="AK164" s="39">
        <f t="shared" ref="AK164:AM164" si="507">AG164+AK163</f>
        <v>8</v>
      </c>
      <c r="AL164" s="39">
        <f t="shared" si="507"/>
        <v>89</v>
      </c>
      <c r="AM164" s="39">
        <f t="shared" si="507"/>
        <v>0</v>
      </c>
      <c r="AN164" s="63">
        <f>AN163/F164</f>
        <v>1.010452962</v>
      </c>
      <c r="AO164" s="39">
        <f t="shared" ref="AO164:AQ164" si="508">AK164+AO163</f>
        <v>8</v>
      </c>
      <c r="AP164" s="39">
        <f t="shared" si="508"/>
        <v>89</v>
      </c>
      <c r="AQ164" s="39">
        <f t="shared" si="508"/>
        <v>0</v>
      </c>
      <c r="AR164" s="63">
        <f>AR163/F164</f>
        <v>1.010452962</v>
      </c>
      <c r="AS164" s="39">
        <f t="shared" ref="AS164:AU164" si="509">AO164+AS163</f>
        <v>8</v>
      </c>
      <c r="AT164" s="39">
        <f t="shared" si="509"/>
        <v>89</v>
      </c>
      <c r="AU164" s="39">
        <f t="shared" si="509"/>
        <v>0</v>
      </c>
      <c r="AV164" s="63">
        <f>AV163/F164</f>
        <v>1.010452962</v>
      </c>
      <c r="AW164" s="39">
        <f t="shared" ref="AW164:AY164" si="510">AS164+AW163</f>
        <v>8</v>
      </c>
      <c r="AX164" s="39">
        <f t="shared" si="510"/>
        <v>89</v>
      </c>
      <c r="AY164" s="39">
        <f t="shared" si="510"/>
        <v>0</v>
      </c>
      <c r="AZ164" s="63">
        <f>AZ163/F164</f>
        <v>1.010452962</v>
      </c>
      <c r="BA164" s="39">
        <f t="shared" ref="BA164:BC164" si="511">AW164+BA163</f>
        <v>8</v>
      </c>
      <c r="BB164" s="39">
        <f t="shared" si="511"/>
        <v>89</v>
      </c>
      <c r="BC164" s="39">
        <f t="shared" si="511"/>
        <v>0</v>
      </c>
      <c r="BD164" s="63">
        <f>BD163/F164</f>
        <v>1.010452962</v>
      </c>
      <c r="BE164" s="39">
        <f t="shared" ref="BE164:BG164" si="512">BA164+BE163</f>
        <v>8</v>
      </c>
      <c r="BF164" s="39">
        <f t="shared" si="512"/>
        <v>89</v>
      </c>
      <c r="BG164" s="39">
        <f t="shared" si="512"/>
        <v>0</v>
      </c>
      <c r="BH164" s="63">
        <f>BH163/F164</f>
        <v>1.010452962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6"/>
      <c r="C165" s="16"/>
      <c r="D165" s="16"/>
      <c r="E165" s="16"/>
      <c r="F165" s="16"/>
      <c r="G165" s="16"/>
      <c r="H165" s="31"/>
      <c r="I165" s="31"/>
      <c r="J165" s="3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 t="s">
        <v>148</v>
      </c>
      <c r="B166" s="30"/>
      <c r="C166" s="21"/>
      <c r="D166" s="21"/>
      <c r="E166" s="21"/>
      <c r="F166" s="21"/>
      <c r="G166" s="22"/>
      <c r="H166" s="25"/>
      <c r="I166" s="25"/>
      <c r="J166" s="25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>
      <c r="A167" s="16"/>
      <c r="B167" s="111" t="s">
        <v>149</v>
      </c>
      <c r="C167" s="94">
        <v>5.0</v>
      </c>
      <c r="D167" s="94">
        <v>2498.0</v>
      </c>
      <c r="E167" s="94">
        <v>15.0</v>
      </c>
      <c r="F167" s="21">
        <f t="shared" ref="F167:F168" si="513">E167+1</f>
        <v>16</v>
      </c>
      <c r="G167" s="22">
        <f t="shared" ref="G167:G168" si="514">$BH167/F167</f>
        <v>0.9375</v>
      </c>
      <c r="H167" s="25"/>
      <c r="I167" s="25"/>
      <c r="J167" s="25"/>
      <c r="K167" s="21">
        <v>2027.0</v>
      </c>
      <c r="L167" s="21">
        <v>2025.0</v>
      </c>
      <c r="M167" s="21"/>
      <c r="N167" s="21"/>
      <c r="O167" s="21"/>
      <c r="P167" s="25">
        <f t="shared" ref="P167:P168" si="515">SUM(M167:O167)+H167</f>
        <v>0</v>
      </c>
      <c r="Q167" s="21"/>
      <c r="R167" s="21"/>
      <c r="S167" s="21"/>
      <c r="T167" s="25">
        <f t="shared" ref="T167:T168" si="516">SUM(P167:S167)</f>
        <v>0</v>
      </c>
      <c r="U167" s="21"/>
      <c r="V167" s="21"/>
      <c r="W167" s="21"/>
      <c r="X167" s="25">
        <f t="shared" ref="X167:X169" si="517">SUM(T167:W167)</f>
        <v>0</v>
      </c>
      <c r="Y167" s="21"/>
      <c r="Z167" s="21"/>
      <c r="AA167" s="21"/>
      <c r="AB167" s="25">
        <f t="shared" ref="AB167:AB168" si="518">SUM(X167:AA167)</f>
        <v>0</v>
      </c>
      <c r="AC167" s="21"/>
      <c r="AD167" s="21"/>
      <c r="AE167" s="21"/>
      <c r="AF167" s="25">
        <f t="shared" ref="AF167:AF168" si="519">SUM(AB167:AE167)</f>
        <v>0</v>
      </c>
      <c r="AG167" s="21">
        <v>14.0</v>
      </c>
      <c r="AH167" s="21">
        <v>1.0</v>
      </c>
      <c r="AI167" s="21"/>
      <c r="AJ167" s="25">
        <f t="shared" ref="AJ167:AJ168" si="520">SUM(AF167:AI167)</f>
        <v>15</v>
      </c>
      <c r="AK167" s="21"/>
      <c r="AL167" s="21"/>
      <c r="AM167" s="21"/>
      <c r="AN167" s="25">
        <f t="shared" ref="AN167:AN168" si="521">SUM(AJ167:AM167)</f>
        <v>15</v>
      </c>
      <c r="AO167" s="21"/>
      <c r="AP167" s="21"/>
      <c r="AQ167" s="21"/>
      <c r="AR167" s="25">
        <f t="shared" ref="AR167:AR168" si="522">SUM(AN167:AQ167)</f>
        <v>15</v>
      </c>
      <c r="AS167" s="21"/>
      <c r="AT167" s="21"/>
      <c r="AU167" s="21"/>
      <c r="AV167" s="25">
        <f t="shared" ref="AV167:AV168" si="523">SUM(AR167:AU167)</f>
        <v>15</v>
      </c>
      <c r="AW167" s="21"/>
      <c r="AX167" s="21"/>
      <c r="AY167" s="21"/>
      <c r="AZ167" s="25">
        <f t="shared" ref="AZ167:AZ168" si="524">SUM(AV167:AY167)</f>
        <v>15</v>
      </c>
      <c r="BA167" s="21"/>
      <c r="BB167" s="21"/>
      <c r="BC167" s="21"/>
      <c r="BD167" s="25">
        <f t="shared" ref="BD167:BD168" si="525">SUM(AZ167:BC167)</f>
        <v>15</v>
      </c>
      <c r="BE167" s="21"/>
      <c r="BF167" s="21"/>
      <c r="BG167" s="21"/>
      <c r="BH167" s="25">
        <f t="shared" ref="BH167:BH168" si="526">SUM(BD167:BG167)</f>
        <v>15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>
      <c r="A168" s="32"/>
      <c r="B168" s="112" t="s">
        <v>150</v>
      </c>
      <c r="C168" s="94">
        <v>14.0</v>
      </c>
      <c r="D168" s="94" t="s">
        <v>73</v>
      </c>
      <c r="E168" s="94">
        <v>42.0</v>
      </c>
      <c r="F168" s="21">
        <f t="shared" si="513"/>
        <v>43</v>
      </c>
      <c r="G168" s="22">
        <f t="shared" si="514"/>
        <v>0.2325581395</v>
      </c>
      <c r="H168" s="25">
        <v>10.0</v>
      </c>
      <c r="I168" s="25">
        <f>+H168+J168</f>
        <v>11</v>
      </c>
      <c r="J168" s="25">
        <v>1.0</v>
      </c>
      <c r="K168" s="21">
        <v>2025.0</v>
      </c>
      <c r="L168" s="21">
        <v>2025.0</v>
      </c>
      <c r="M168" s="21"/>
      <c r="N168" s="21"/>
      <c r="O168" s="21"/>
      <c r="P168" s="25">
        <f t="shared" si="515"/>
        <v>10</v>
      </c>
      <c r="Q168" s="21"/>
      <c r="R168" s="21"/>
      <c r="S168" s="21"/>
      <c r="T168" s="25">
        <f t="shared" si="516"/>
        <v>10</v>
      </c>
      <c r="U168" s="21"/>
      <c r="V168" s="21"/>
      <c r="W168" s="21"/>
      <c r="X168" s="25">
        <f t="shared" si="517"/>
        <v>10</v>
      </c>
      <c r="Y168" s="21"/>
      <c r="Z168" s="21"/>
      <c r="AA168" s="21"/>
      <c r="AB168" s="25">
        <f t="shared" si="518"/>
        <v>10</v>
      </c>
      <c r="AC168" s="21"/>
      <c r="AD168" s="21"/>
      <c r="AE168" s="21"/>
      <c r="AF168" s="25">
        <f t="shared" si="519"/>
        <v>10</v>
      </c>
      <c r="AG168" s="21"/>
      <c r="AH168" s="21"/>
      <c r="AI168" s="21"/>
      <c r="AJ168" s="25">
        <f t="shared" si="520"/>
        <v>10</v>
      </c>
      <c r="AK168" s="21"/>
      <c r="AL168" s="21"/>
      <c r="AM168" s="21"/>
      <c r="AN168" s="25">
        <f t="shared" si="521"/>
        <v>10</v>
      </c>
      <c r="AO168" s="21"/>
      <c r="AP168" s="21"/>
      <c r="AQ168" s="21"/>
      <c r="AR168" s="25">
        <f t="shared" si="522"/>
        <v>10</v>
      </c>
      <c r="AS168" s="21"/>
      <c r="AT168" s="21"/>
      <c r="AU168" s="21"/>
      <c r="AV168" s="25">
        <f t="shared" si="523"/>
        <v>10</v>
      </c>
      <c r="AW168" s="21"/>
      <c r="AX168" s="21"/>
      <c r="AY168" s="21"/>
      <c r="AZ168" s="25">
        <f t="shared" si="524"/>
        <v>10</v>
      </c>
      <c r="BA168" s="21"/>
      <c r="BB168" s="21"/>
      <c r="BC168" s="21"/>
      <c r="BD168" s="25">
        <f t="shared" si="525"/>
        <v>10</v>
      </c>
      <c r="BE168" s="21"/>
      <c r="BF168" s="21"/>
      <c r="BG168" s="21"/>
      <c r="BH168" s="25">
        <f t="shared" si="526"/>
        <v>10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94"/>
      <c r="C169" s="94"/>
      <c r="D169" s="94"/>
      <c r="E169" s="94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>
        <f t="shared" ref="Q169:W169" si="527">SUM(Q168)</f>
        <v>0</v>
      </c>
      <c r="R169" s="21">
        <f t="shared" si="527"/>
        <v>0</v>
      </c>
      <c r="S169" s="21">
        <f t="shared" si="527"/>
        <v>0</v>
      </c>
      <c r="T169" s="25">
        <f t="shared" si="527"/>
        <v>10</v>
      </c>
      <c r="U169" s="21">
        <f t="shared" si="527"/>
        <v>0</v>
      </c>
      <c r="V169" s="21">
        <f t="shared" si="527"/>
        <v>0</v>
      </c>
      <c r="W169" s="21">
        <f t="shared" si="527"/>
        <v>0</v>
      </c>
      <c r="X169" s="25">
        <f t="shared" si="517"/>
        <v>10</v>
      </c>
      <c r="Y169" s="21">
        <f t="shared" ref="Y169:BH169" si="528">SUM(Y168)</f>
        <v>0</v>
      </c>
      <c r="Z169" s="21">
        <f t="shared" si="528"/>
        <v>0</v>
      </c>
      <c r="AA169" s="21">
        <f t="shared" si="528"/>
        <v>0</v>
      </c>
      <c r="AB169" s="25">
        <f t="shared" si="528"/>
        <v>10</v>
      </c>
      <c r="AC169" s="21">
        <f t="shared" si="528"/>
        <v>0</v>
      </c>
      <c r="AD169" s="21">
        <f t="shared" si="528"/>
        <v>0</v>
      </c>
      <c r="AE169" s="21">
        <f t="shared" si="528"/>
        <v>0</v>
      </c>
      <c r="AF169" s="25">
        <f t="shared" si="528"/>
        <v>10</v>
      </c>
      <c r="AG169" s="21">
        <f t="shared" si="528"/>
        <v>0</v>
      </c>
      <c r="AH169" s="21">
        <f t="shared" si="528"/>
        <v>0</v>
      </c>
      <c r="AI169" s="21">
        <f t="shared" si="528"/>
        <v>0</v>
      </c>
      <c r="AJ169" s="25">
        <f t="shared" si="528"/>
        <v>10</v>
      </c>
      <c r="AK169" s="21">
        <f t="shared" si="528"/>
        <v>0</v>
      </c>
      <c r="AL169" s="21">
        <f t="shared" si="528"/>
        <v>0</v>
      </c>
      <c r="AM169" s="21">
        <f t="shared" si="528"/>
        <v>0</v>
      </c>
      <c r="AN169" s="25">
        <f t="shared" si="528"/>
        <v>10</v>
      </c>
      <c r="AO169" s="21">
        <f t="shared" si="528"/>
        <v>0</v>
      </c>
      <c r="AP169" s="21">
        <f t="shared" si="528"/>
        <v>0</v>
      </c>
      <c r="AQ169" s="21">
        <f t="shared" si="528"/>
        <v>0</v>
      </c>
      <c r="AR169" s="25">
        <f t="shared" si="528"/>
        <v>10</v>
      </c>
      <c r="AS169" s="21">
        <f t="shared" si="528"/>
        <v>0</v>
      </c>
      <c r="AT169" s="21">
        <f t="shared" si="528"/>
        <v>0</v>
      </c>
      <c r="AU169" s="21">
        <f t="shared" si="528"/>
        <v>0</v>
      </c>
      <c r="AV169" s="25">
        <f t="shared" si="528"/>
        <v>10</v>
      </c>
      <c r="AW169" s="21">
        <f t="shared" si="528"/>
        <v>0</v>
      </c>
      <c r="AX169" s="21">
        <f t="shared" si="528"/>
        <v>0</v>
      </c>
      <c r="AY169" s="21">
        <f t="shared" si="528"/>
        <v>0</v>
      </c>
      <c r="AZ169" s="25">
        <f t="shared" si="528"/>
        <v>10</v>
      </c>
      <c r="BA169" s="21">
        <f t="shared" si="528"/>
        <v>0</v>
      </c>
      <c r="BB169" s="21">
        <f t="shared" si="528"/>
        <v>0</v>
      </c>
      <c r="BC169" s="21">
        <f t="shared" si="528"/>
        <v>0</v>
      </c>
      <c r="BD169" s="25">
        <f t="shared" si="528"/>
        <v>10</v>
      </c>
      <c r="BE169" s="21">
        <f t="shared" si="528"/>
        <v>0</v>
      </c>
      <c r="BF169" s="21">
        <f t="shared" si="528"/>
        <v>0</v>
      </c>
      <c r="BG169" s="21">
        <f t="shared" si="528"/>
        <v>0</v>
      </c>
      <c r="BH169" s="25">
        <f t="shared" si="528"/>
        <v>10</v>
      </c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94" t="s">
        <v>35</v>
      </c>
      <c r="C170" s="94">
        <v>1.0</v>
      </c>
      <c r="D170" s="94"/>
      <c r="E170" s="35">
        <f>SUM(E166:E168)</f>
        <v>57</v>
      </c>
      <c r="F170" s="35">
        <f>SUM(E166:E168)+1</f>
        <v>58</v>
      </c>
      <c r="G170" s="22">
        <f>BH169/F170</f>
        <v>0.1724137931</v>
      </c>
      <c r="H170" s="25">
        <f t="shared" ref="H170:J170" si="529">SUM(H168)</f>
        <v>10</v>
      </c>
      <c r="I170" s="25">
        <f t="shared" si="529"/>
        <v>11</v>
      </c>
      <c r="J170" s="25">
        <f t="shared" si="529"/>
        <v>1</v>
      </c>
      <c r="K170" s="21"/>
      <c r="L170" s="21"/>
      <c r="M170" s="21">
        <f t="shared" ref="M170:O170" si="530">SUM(M168)</f>
        <v>0</v>
      </c>
      <c r="N170" s="21">
        <f t="shared" si="530"/>
        <v>0</v>
      </c>
      <c r="O170" s="21">
        <f t="shared" si="530"/>
        <v>0</v>
      </c>
      <c r="P170" s="22">
        <f>P168/F170</f>
        <v>0.1724137931</v>
      </c>
      <c r="Q170" s="21">
        <f t="shared" ref="Q170:S170" si="531">+M170+Q169</f>
        <v>0</v>
      </c>
      <c r="R170" s="21">
        <f t="shared" si="531"/>
        <v>0</v>
      </c>
      <c r="S170" s="21">
        <f t="shared" si="531"/>
        <v>0</v>
      </c>
      <c r="T170" s="22">
        <f>T169/F170</f>
        <v>0.1724137931</v>
      </c>
      <c r="U170" s="21">
        <f t="shared" ref="U170:W170" si="532">+Q170+U169</f>
        <v>0</v>
      </c>
      <c r="V170" s="21">
        <f t="shared" si="532"/>
        <v>0</v>
      </c>
      <c r="W170" s="21">
        <f t="shared" si="532"/>
        <v>0</v>
      </c>
      <c r="X170" s="22">
        <f>+X169/F170</f>
        <v>0.1724137931</v>
      </c>
      <c r="Y170" s="21">
        <f t="shared" ref="Y170:AA170" si="533">+U170+Y169</f>
        <v>0</v>
      </c>
      <c r="Z170" s="21">
        <f t="shared" si="533"/>
        <v>0</v>
      </c>
      <c r="AA170" s="21">
        <f t="shared" si="533"/>
        <v>0</v>
      </c>
      <c r="AB170" s="22">
        <f>+AB169/F170</f>
        <v>0.1724137931</v>
      </c>
      <c r="AC170" s="21">
        <f t="shared" ref="AC170:AE170" si="534">+Y170+AC169</f>
        <v>0</v>
      </c>
      <c r="AD170" s="21">
        <f t="shared" si="534"/>
        <v>0</v>
      </c>
      <c r="AE170" s="21">
        <f t="shared" si="534"/>
        <v>0</v>
      </c>
      <c r="AF170" s="22">
        <f>AF169/F170</f>
        <v>0.1724137931</v>
      </c>
      <c r="AG170" s="21">
        <f t="shared" ref="AG170:AI170" si="535">+AC170+AG169</f>
        <v>0</v>
      </c>
      <c r="AH170" s="21">
        <f t="shared" si="535"/>
        <v>0</v>
      </c>
      <c r="AI170" s="21">
        <f t="shared" si="535"/>
        <v>0</v>
      </c>
      <c r="AJ170" s="22">
        <f>AJ169/F170</f>
        <v>0.1724137931</v>
      </c>
      <c r="AK170" s="21">
        <f t="shared" ref="AK170:AM170" si="536">+AG170+AK169</f>
        <v>0</v>
      </c>
      <c r="AL170" s="21">
        <f t="shared" si="536"/>
        <v>0</v>
      </c>
      <c r="AM170" s="21">
        <f t="shared" si="536"/>
        <v>0</v>
      </c>
      <c r="AN170" s="22">
        <f>AN169/F170</f>
        <v>0.1724137931</v>
      </c>
      <c r="AO170" s="21">
        <f t="shared" ref="AO170:AQ170" si="537">+AK170+AO169</f>
        <v>0</v>
      </c>
      <c r="AP170" s="21">
        <f t="shared" si="537"/>
        <v>0</v>
      </c>
      <c r="AQ170" s="21">
        <f t="shared" si="537"/>
        <v>0</v>
      </c>
      <c r="AR170" s="22">
        <f>AR169/F170</f>
        <v>0.1724137931</v>
      </c>
      <c r="AS170" s="21">
        <f t="shared" ref="AS170:AU170" si="538">+AO170+AS169</f>
        <v>0</v>
      </c>
      <c r="AT170" s="21">
        <f t="shared" si="538"/>
        <v>0</v>
      </c>
      <c r="AU170" s="21">
        <f t="shared" si="538"/>
        <v>0</v>
      </c>
      <c r="AV170" s="22">
        <f>AV169/F170</f>
        <v>0.1724137931</v>
      </c>
      <c r="AW170" s="21">
        <f t="shared" ref="AW170:AY170" si="539">+AS170+AW169</f>
        <v>0</v>
      </c>
      <c r="AX170" s="21">
        <f t="shared" si="539"/>
        <v>0</v>
      </c>
      <c r="AY170" s="21">
        <f t="shared" si="539"/>
        <v>0</v>
      </c>
      <c r="AZ170" s="22">
        <f>AZ169/F170</f>
        <v>0.1724137931</v>
      </c>
      <c r="BA170" s="21">
        <f t="shared" ref="BA170:BC170" si="540">+AW170+BA169</f>
        <v>0</v>
      </c>
      <c r="BB170" s="21">
        <f t="shared" si="540"/>
        <v>0</v>
      </c>
      <c r="BC170" s="21">
        <f t="shared" si="540"/>
        <v>0</v>
      </c>
      <c r="BD170" s="22">
        <f>BD169/F170</f>
        <v>0.1724137931</v>
      </c>
      <c r="BE170" s="21">
        <f t="shared" ref="BE170:BG170" si="541">+BA170+BE169</f>
        <v>0</v>
      </c>
      <c r="BF170" s="21">
        <f t="shared" si="541"/>
        <v>0</v>
      </c>
      <c r="BG170" s="21">
        <f t="shared" si="541"/>
        <v>0</v>
      </c>
      <c r="BH170" s="22">
        <f>BH169/F170</f>
        <v>0.1724137931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94"/>
      <c r="C171" s="94"/>
      <c r="D171" s="94"/>
      <c r="E171" s="94"/>
      <c r="F171" s="21"/>
      <c r="G171" s="22"/>
      <c r="H171" s="25"/>
      <c r="I171" s="25"/>
      <c r="J171" s="25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6"/>
      <c r="BC171" s="21"/>
      <c r="BD171" s="21"/>
      <c r="BE171" s="21"/>
      <c r="BF171" s="21"/>
      <c r="BG171" s="21"/>
      <c r="BH171" s="21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33" t="s">
        <v>151</v>
      </c>
      <c r="B172" s="21"/>
      <c r="C172" s="21"/>
      <c r="D172" s="21"/>
      <c r="E172" s="21"/>
      <c r="F172" s="21"/>
      <c r="G172" s="22"/>
      <c r="H172" s="25"/>
      <c r="I172" s="25"/>
      <c r="J172" s="25"/>
      <c r="K172" s="21">
        <v>2027.0</v>
      </c>
      <c r="L172" s="21">
        <v>2026.0</v>
      </c>
      <c r="M172" s="21"/>
      <c r="N172" s="21"/>
      <c r="O172" s="21"/>
      <c r="P172" s="25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12.0</v>
      </c>
      <c r="D173" s="35">
        <v>4012.0</v>
      </c>
      <c r="E173" s="35">
        <v>29.0</v>
      </c>
      <c r="F173" s="21">
        <f t="shared" ref="F173:F181" si="542">E173+1</f>
        <v>30</v>
      </c>
      <c r="G173" s="63">
        <f t="shared" ref="G173:G181" si="543">$BH173/F173</f>
        <v>0.8333333333</v>
      </c>
      <c r="H173" s="39">
        <v>10.0</v>
      </c>
      <c r="I173" s="39">
        <f t="shared" ref="I173:I181" si="544">+H173+J173</f>
        <v>10</v>
      </c>
      <c r="J173" s="39"/>
      <c r="K173" s="21">
        <v>2027.0</v>
      </c>
      <c r="L173" s="21">
        <v>2025.0</v>
      </c>
      <c r="M173" s="35"/>
      <c r="N173" s="35"/>
      <c r="O173" s="35"/>
      <c r="P173" s="39">
        <f t="shared" ref="P173:P181" si="545">SUM(M173:O173)+H173</f>
        <v>10</v>
      </c>
      <c r="Q173" s="35"/>
      <c r="R173" s="35">
        <v>15.0</v>
      </c>
      <c r="S173" s="35"/>
      <c r="T173" s="39">
        <f t="shared" ref="T173:T181" si="546">SUM(P173:S173)</f>
        <v>25</v>
      </c>
      <c r="U173" s="35"/>
      <c r="V173" s="35"/>
      <c r="W173" s="35"/>
      <c r="X173" s="39">
        <f t="shared" ref="X173:X181" si="547">SUM(T173:W173)</f>
        <v>25</v>
      </c>
      <c r="Y173" s="35"/>
      <c r="Z173" s="35"/>
      <c r="AA173" s="35"/>
      <c r="AB173" s="39">
        <f t="shared" ref="AB173:AB181" si="548">SUM(X173:AA173)</f>
        <v>25</v>
      </c>
      <c r="AC173" s="35"/>
      <c r="AD173" s="35"/>
      <c r="AE173" s="35"/>
      <c r="AF173" s="39">
        <f t="shared" ref="AF173:AF181" si="549">SUM(AB173:AE173)</f>
        <v>25</v>
      </c>
      <c r="AG173" s="35"/>
      <c r="AH173" s="35"/>
      <c r="AI173" s="35"/>
      <c r="AJ173" s="39">
        <f t="shared" ref="AJ173:AJ181" si="550">SUM(AF173:AI173)</f>
        <v>25</v>
      </c>
      <c r="AK173" s="35"/>
      <c r="AL173" s="35"/>
      <c r="AM173" s="35"/>
      <c r="AN173" s="39">
        <f t="shared" ref="AN173:AN181" si="551">SUM(AJ173:AM173)</f>
        <v>25</v>
      </c>
      <c r="AO173" s="35"/>
      <c r="AP173" s="35"/>
      <c r="AQ173" s="35"/>
      <c r="AR173" s="39">
        <f t="shared" ref="AR173:AR181" si="552">SUM(AN173:AQ173)</f>
        <v>25</v>
      </c>
      <c r="AS173" s="35"/>
      <c r="AT173" s="35"/>
      <c r="AU173" s="35"/>
      <c r="AV173" s="39">
        <f t="shared" ref="AV173:AV181" si="553">SUM(AR173:AU173)</f>
        <v>25</v>
      </c>
      <c r="AW173" s="35"/>
      <c r="AX173" s="35"/>
      <c r="AY173" s="35"/>
      <c r="AZ173" s="39">
        <f t="shared" ref="AZ173:AZ181" si="554">SUM(AV173:AY173)</f>
        <v>25</v>
      </c>
      <c r="BA173" s="35"/>
      <c r="BB173" s="35"/>
      <c r="BC173" s="35"/>
      <c r="BD173" s="39">
        <f t="shared" ref="BD173:BD181" si="555">SUM(AZ173:BC173)</f>
        <v>25</v>
      </c>
      <c r="BE173" s="35"/>
      <c r="BF173" s="35"/>
      <c r="BG173" s="35"/>
      <c r="BH173" s="39">
        <f t="shared" ref="BH173:BH181" si="556">SUM(BD173:BG173)</f>
        <v>25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14.0</v>
      </c>
      <c r="D174" s="35">
        <v>830.0</v>
      </c>
      <c r="E174" s="35">
        <v>22.0</v>
      </c>
      <c r="F174" s="21">
        <f t="shared" si="542"/>
        <v>23</v>
      </c>
      <c r="G174" s="63">
        <f t="shared" si="543"/>
        <v>0.8695652174</v>
      </c>
      <c r="H174" s="39">
        <v>13.0</v>
      </c>
      <c r="I174" s="39">
        <f t="shared" si="544"/>
        <v>13</v>
      </c>
      <c r="J174" s="39"/>
      <c r="K174" s="21">
        <v>2027.0</v>
      </c>
      <c r="L174" s="21">
        <v>2025.0</v>
      </c>
      <c r="M174" s="35"/>
      <c r="N174" s="35"/>
      <c r="O174" s="35"/>
      <c r="P174" s="39">
        <f t="shared" si="545"/>
        <v>13</v>
      </c>
      <c r="Q174" s="35"/>
      <c r="R174" s="35"/>
      <c r="S174" s="35"/>
      <c r="T174" s="39">
        <f t="shared" si="546"/>
        <v>13</v>
      </c>
      <c r="U174" s="35"/>
      <c r="V174" s="35"/>
      <c r="W174" s="35"/>
      <c r="X174" s="39">
        <f t="shared" si="547"/>
        <v>13</v>
      </c>
      <c r="Y174" s="35"/>
      <c r="Z174" s="35"/>
      <c r="AA174" s="35"/>
      <c r="AB174" s="39">
        <f t="shared" si="548"/>
        <v>13</v>
      </c>
      <c r="AC174" s="35"/>
      <c r="AD174" s="35"/>
      <c r="AE174" s="35"/>
      <c r="AF174" s="39">
        <f t="shared" si="549"/>
        <v>13</v>
      </c>
      <c r="AG174" s="35"/>
      <c r="AH174" s="35"/>
      <c r="AI174" s="35"/>
      <c r="AJ174" s="39">
        <f t="shared" si="550"/>
        <v>13</v>
      </c>
      <c r="AK174" s="35"/>
      <c r="AL174" s="35"/>
      <c r="AM174" s="35"/>
      <c r="AN174" s="39">
        <f t="shared" si="551"/>
        <v>13</v>
      </c>
      <c r="AO174" s="35"/>
      <c r="AP174" s="35"/>
      <c r="AQ174" s="35"/>
      <c r="AR174" s="39">
        <f t="shared" si="552"/>
        <v>13</v>
      </c>
      <c r="AS174" s="35"/>
      <c r="AT174" s="35"/>
      <c r="AU174" s="35"/>
      <c r="AV174" s="39">
        <f t="shared" si="553"/>
        <v>13</v>
      </c>
      <c r="AW174" s="35"/>
      <c r="AX174" s="35"/>
      <c r="AY174" s="35"/>
      <c r="AZ174" s="39">
        <f t="shared" si="554"/>
        <v>13</v>
      </c>
      <c r="BA174" s="35"/>
      <c r="BB174" s="35"/>
      <c r="BC174" s="35"/>
      <c r="BD174" s="39">
        <f t="shared" si="555"/>
        <v>13</v>
      </c>
      <c r="BE174" s="35"/>
      <c r="BF174" s="41">
        <v>7.0</v>
      </c>
      <c r="BG174" s="35"/>
      <c r="BH174" s="39">
        <f t="shared" si="556"/>
        <v>20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21" t="s">
        <v>154</v>
      </c>
      <c r="C175" s="21">
        <v>17.0</v>
      </c>
      <c r="D175" s="21">
        <v>1859.0</v>
      </c>
      <c r="E175" s="21">
        <v>25.0</v>
      </c>
      <c r="F175" s="21">
        <f t="shared" si="542"/>
        <v>26</v>
      </c>
      <c r="G175" s="63">
        <f t="shared" si="543"/>
        <v>0.3846153846</v>
      </c>
      <c r="H175" s="25">
        <v>10.0</v>
      </c>
      <c r="I175" s="25">
        <f t="shared" si="544"/>
        <v>10</v>
      </c>
      <c r="J175" s="25"/>
      <c r="K175" s="21">
        <v>2025.0</v>
      </c>
      <c r="L175" s="21">
        <v>2025.0</v>
      </c>
      <c r="M175" s="21"/>
      <c r="N175" s="21"/>
      <c r="O175" s="21"/>
      <c r="P175" s="25">
        <f t="shared" si="545"/>
        <v>10</v>
      </c>
      <c r="Q175" s="21"/>
      <c r="R175" s="21"/>
      <c r="S175" s="21"/>
      <c r="T175" s="25">
        <f t="shared" si="546"/>
        <v>10</v>
      </c>
      <c r="U175" s="21"/>
      <c r="V175" s="21"/>
      <c r="W175" s="21"/>
      <c r="X175" s="25">
        <f t="shared" si="547"/>
        <v>10</v>
      </c>
      <c r="Y175" s="21"/>
      <c r="Z175" s="21"/>
      <c r="AA175" s="21"/>
      <c r="AB175" s="25">
        <f t="shared" si="548"/>
        <v>10</v>
      </c>
      <c r="AC175" s="21"/>
      <c r="AD175" s="21"/>
      <c r="AE175" s="21"/>
      <c r="AF175" s="25">
        <f t="shared" si="549"/>
        <v>10</v>
      </c>
      <c r="AG175" s="21"/>
      <c r="AH175" s="21"/>
      <c r="AI175" s="21"/>
      <c r="AJ175" s="25">
        <f t="shared" si="550"/>
        <v>10</v>
      </c>
      <c r="AK175" s="21"/>
      <c r="AL175" s="21"/>
      <c r="AM175" s="21"/>
      <c r="AN175" s="25">
        <f t="shared" si="551"/>
        <v>10</v>
      </c>
      <c r="AO175" s="21"/>
      <c r="AP175" s="21"/>
      <c r="AQ175" s="21"/>
      <c r="AR175" s="25">
        <f t="shared" si="552"/>
        <v>10</v>
      </c>
      <c r="AS175" s="21"/>
      <c r="AT175" s="21"/>
      <c r="AU175" s="21"/>
      <c r="AV175" s="25">
        <f t="shared" si="553"/>
        <v>10</v>
      </c>
      <c r="AW175" s="21"/>
      <c r="AX175" s="21"/>
      <c r="AY175" s="21"/>
      <c r="AZ175" s="25">
        <f t="shared" si="554"/>
        <v>10</v>
      </c>
      <c r="BA175" s="21"/>
      <c r="BB175" s="21"/>
      <c r="BC175" s="21"/>
      <c r="BD175" s="25">
        <f t="shared" si="555"/>
        <v>10</v>
      </c>
      <c r="BE175" s="21"/>
      <c r="BF175" s="21"/>
      <c r="BG175" s="21"/>
      <c r="BH175" s="25">
        <f t="shared" si="556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18.0</v>
      </c>
      <c r="D176" s="35">
        <v>1888.0</v>
      </c>
      <c r="E176" s="35">
        <v>19.0</v>
      </c>
      <c r="F176" s="21">
        <f t="shared" si="542"/>
        <v>20</v>
      </c>
      <c r="G176" s="63">
        <f t="shared" si="543"/>
        <v>0.95</v>
      </c>
      <c r="H176" s="39">
        <v>3.0</v>
      </c>
      <c r="I176" s="39">
        <f t="shared" si="544"/>
        <v>3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5"/>
        <v>3</v>
      </c>
      <c r="Q176" s="35">
        <v>1.0</v>
      </c>
      <c r="R176" s="35">
        <v>8.0</v>
      </c>
      <c r="S176" s="35">
        <v>2.0</v>
      </c>
      <c r="T176" s="39">
        <f t="shared" si="546"/>
        <v>14</v>
      </c>
      <c r="U176" s="35"/>
      <c r="V176" s="41"/>
      <c r="W176" s="35"/>
      <c r="X176" s="39">
        <f t="shared" si="547"/>
        <v>14</v>
      </c>
      <c r="Y176" s="35"/>
      <c r="Z176" s="35"/>
      <c r="AA176" s="35"/>
      <c r="AB176" s="39">
        <f t="shared" si="548"/>
        <v>14</v>
      </c>
      <c r="AC176" s="35"/>
      <c r="AD176" s="35"/>
      <c r="AE176" s="35"/>
      <c r="AF176" s="39">
        <f t="shared" si="549"/>
        <v>14</v>
      </c>
      <c r="AG176" s="35"/>
      <c r="AH176" s="35"/>
      <c r="AI176" s="35"/>
      <c r="AJ176" s="39">
        <f t="shared" si="550"/>
        <v>14</v>
      </c>
      <c r="AK176" s="35"/>
      <c r="AL176" s="35"/>
      <c r="AM176" s="35"/>
      <c r="AN176" s="39">
        <f t="shared" si="551"/>
        <v>14</v>
      </c>
      <c r="AO176" s="35"/>
      <c r="AP176" s="35"/>
      <c r="AQ176" s="35"/>
      <c r="AR176" s="39">
        <f t="shared" si="552"/>
        <v>14</v>
      </c>
      <c r="AS176" s="35"/>
      <c r="AT176" s="35"/>
      <c r="AU176" s="35"/>
      <c r="AV176" s="39">
        <f t="shared" si="553"/>
        <v>14</v>
      </c>
      <c r="AW176" s="35"/>
      <c r="AX176" s="35"/>
      <c r="AY176" s="35"/>
      <c r="AZ176" s="39">
        <f t="shared" si="554"/>
        <v>14</v>
      </c>
      <c r="BA176" s="35"/>
      <c r="BB176" s="41">
        <v>4.0</v>
      </c>
      <c r="BC176" s="35"/>
      <c r="BD176" s="39">
        <f t="shared" si="555"/>
        <v>18</v>
      </c>
      <c r="BE176" s="35"/>
      <c r="BF176" s="41">
        <v>1.0</v>
      </c>
      <c r="BG176" s="35"/>
      <c r="BH176" s="39">
        <f t="shared" si="556"/>
        <v>19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21.0</v>
      </c>
      <c r="D177" s="35">
        <v>345.0</v>
      </c>
      <c r="E177" s="35">
        <v>35.0</v>
      </c>
      <c r="F177" s="21">
        <f t="shared" si="542"/>
        <v>36</v>
      </c>
      <c r="G177" s="63">
        <f t="shared" si="543"/>
        <v>0.2777777778</v>
      </c>
      <c r="H177" s="39">
        <v>10.0</v>
      </c>
      <c r="I177" s="39">
        <f t="shared" si="544"/>
        <v>10</v>
      </c>
      <c r="J177" s="39"/>
      <c r="K177" s="35">
        <v>2025.0</v>
      </c>
      <c r="L177" s="21">
        <v>2025.0</v>
      </c>
      <c r="M177" s="35"/>
      <c r="N177" s="35"/>
      <c r="O177" s="35"/>
      <c r="P177" s="39">
        <f t="shared" si="545"/>
        <v>10</v>
      </c>
      <c r="Q177" s="35"/>
      <c r="R177" s="35"/>
      <c r="S177" s="35"/>
      <c r="T177" s="39">
        <f t="shared" si="546"/>
        <v>10</v>
      </c>
      <c r="U177" s="35"/>
      <c r="V177" s="35"/>
      <c r="W177" s="35"/>
      <c r="X177" s="39">
        <f t="shared" si="547"/>
        <v>10</v>
      </c>
      <c r="Y177" s="35"/>
      <c r="Z177" s="35"/>
      <c r="AA177" s="35"/>
      <c r="AB177" s="39">
        <f t="shared" si="548"/>
        <v>10</v>
      </c>
      <c r="AC177" s="35"/>
      <c r="AD177" s="35"/>
      <c r="AE177" s="35"/>
      <c r="AF177" s="39">
        <f t="shared" si="549"/>
        <v>10</v>
      </c>
      <c r="AG177" s="35"/>
      <c r="AH177" s="35"/>
      <c r="AI177" s="35"/>
      <c r="AJ177" s="39">
        <f t="shared" si="550"/>
        <v>10</v>
      </c>
      <c r="AK177" s="35"/>
      <c r="AL177" s="35"/>
      <c r="AM177" s="35"/>
      <c r="AN177" s="39">
        <f t="shared" si="551"/>
        <v>10</v>
      </c>
      <c r="AO177" s="35"/>
      <c r="AP177" s="35"/>
      <c r="AQ177" s="35"/>
      <c r="AR177" s="39">
        <f t="shared" si="552"/>
        <v>10</v>
      </c>
      <c r="AS177" s="35"/>
      <c r="AT177" s="35"/>
      <c r="AU177" s="35"/>
      <c r="AV177" s="39">
        <f t="shared" si="553"/>
        <v>10</v>
      </c>
      <c r="AW177" s="35"/>
      <c r="AX177" s="35"/>
      <c r="AY177" s="35"/>
      <c r="AZ177" s="39">
        <f t="shared" si="554"/>
        <v>10</v>
      </c>
      <c r="BA177" s="35"/>
      <c r="BB177" s="35"/>
      <c r="BC177" s="35"/>
      <c r="BD177" s="39">
        <f t="shared" si="555"/>
        <v>10</v>
      </c>
      <c r="BE177" s="35"/>
      <c r="BF177" s="35"/>
      <c r="BG177" s="35"/>
      <c r="BH177" s="39">
        <f t="shared" si="556"/>
        <v>10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157</v>
      </c>
      <c r="C178" s="35">
        <v>24.0</v>
      </c>
      <c r="D178" s="35">
        <v>2358.0</v>
      </c>
      <c r="E178" s="35">
        <v>22.0</v>
      </c>
      <c r="F178" s="21">
        <f t="shared" si="542"/>
        <v>23</v>
      </c>
      <c r="G178" s="63">
        <f t="shared" si="543"/>
        <v>1.086956522</v>
      </c>
      <c r="H178" s="39">
        <v>15.0</v>
      </c>
      <c r="I178" s="39">
        <f t="shared" si="544"/>
        <v>15</v>
      </c>
      <c r="J178" s="73"/>
      <c r="K178" s="35">
        <v>2025.0</v>
      </c>
      <c r="L178" s="21">
        <v>2025.0</v>
      </c>
      <c r="M178" s="35"/>
      <c r="N178" s="35"/>
      <c r="O178" s="35"/>
      <c r="P178" s="39">
        <f t="shared" si="545"/>
        <v>15</v>
      </c>
      <c r="Q178" s="35"/>
      <c r="R178" s="35"/>
      <c r="S178" s="35">
        <v>1.0</v>
      </c>
      <c r="T178" s="39">
        <f t="shared" si="546"/>
        <v>16</v>
      </c>
      <c r="U178" s="35"/>
      <c r="V178" s="35"/>
      <c r="W178" s="35"/>
      <c r="X178" s="39">
        <f t="shared" si="547"/>
        <v>16</v>
      </c>
      <c r="Y178" s="35"/>
      <c r="Z178" s="35"/>
      <c r="AA178" s="35"/>
      <c r="AB178" s="39">
        <f t="shared" si="548"/>
        <v>16</v>
      </c>
      <c r="AC178" s="35"/>
      <c r="AD178" s="35"/>
      <c r="AE178" s="35"/>
      <c r="AF178" s="39">
        <f t="shared" si="549"/>
        <v>16</v>
      </c>
      <c r="AG178" s="35"/>
      <c r="AH178" s="35"/>
      <c r="AI178" s="35"/>
      <c r="AJ178" s="39">
        <f t="shared" si="550"/>
        <v>16</v>
      </c>
      <c r="AK178" s="35"/>
      <c r="AL178" s="35"/>
      <c r="AM178" s="35"/>
      <c r="AN178" s="39">
        <f t="shared" si="551"/>
        <v>16</v>
      </c>
      <c r="AO178" s="35"/>
      <c r="AP178" s="35"/>
      <c r="AQ178" s="35"/>
      <c r="AR178" s="39">
        <f t="shared" si="552"/>
        <v>16</v>
      </c>
      <c r="AS178" s="35"/>
      <c r="AT178" s="35"/>
      <c r="AU178" s="35"/>
      <c r="AV178" s="39">
        <f t="shared" si="553"/>
        <v>16</v>
      </c>
      <c r="AW178" s="35"/>
      <c r="AX178" s="35"/>
      <c r="AY178" s="35"/>
      <c r="AZ178" s="39">
        <f t="shared" si="554"/>
        <v>16</v>
      </c>
      <c r="BA178" s="35"/>
      <c r="BB178" s="41">
        <v>3.0</v>
      </c>
      <c r="BC178" s="35"/>
      <c r="BD178" s="39">
        <f t="shared" si="555"/>
        <v>19</v>
      </c>
      <c r="BE178" s="41">
        <v>1.0</v>
      </c>
      <c r="BF178" s="41">
        <v>5.0</v>
      </c>
      <c r="BG178" s="35"/>
      <c r="BH178" s="39">
        <f t="shared" si="556"/>
        <v>25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35" t="s">
        <v>158</v>
      </c>
      <c r="C179" s="35">
        <v>32.0</v>
      </c>
      <c r="D179" s="35">
        <v>3243.0</v>
      </c>
      <c r="E179" s="35">
        <v>38.0</v>
      </c>
      <c r="F179" s="21">
        <f t="shared" si="542"/>
        <v>39</v>
      </c>
      <c r="G179" s="63">
        <f t="shared" si="543"/>
        <v>0.7948717949</v>
      </c>
      <c r="H179" s="39">
        <v>26.0</v>
      </c>
      <c r="I179" s="39">
        <f t="shared" si="544"/>
        <v>26</v>
      </c>
      <c r="J179" s="39"/>
      <c r="K179" s="35">
        <v>2027.0</v>
      </c>
      <c r="L179" s="21">
        <v>2025.0</v>
      </c>
      <c r="M179" s="35"/>
      <c r="N179" s="35">
        <v>5.0</v>
      </c>
      <c r="O179" s="35"/>
      <c r="P179" s="39">
        <f t="shared" si="545"/>
        <v>31</v>
      </c>
      <c r="Q179" s="35"/>
      <c r="R179" s="35"/>
      <c r="S179" s="35"/>
      <c r="T179" s="39">
        <f t="shared" si="546"/>
        <v>31</v>
      </c>
      <c r="U179" s="35"/>
      <c r="V179" s="35"/>
      <c r="W179" s="35"/>
      <c r="X179" s="39">
        <f t="shared" si="547"/>
        <v>31</v>
      </c>
      <c r="Y179" s="35"/>
      <c r="Z179" s="35"/>
      <c r="AA179" s="35"/>
      <c r="AB179" s="39">
        <f t="shared" si="548"/>
        <v>31</v>
      </c>
      <c r="AC179" s="35"/>
      <c r="AD179" s="35"/>
      <c r="AE179" s="35"/>
      <c r="AF179" s="39">
        <f t="shared" si="549"/>
        <v>31</v>
      </c>
      <c r="AG179" s="35"/>
      <c r="AH179" s="35"/>
      <c r="AI179" s="35"/>
      <c r="AJ179" s="39">
        <f t="shared" si="550"/>
        <v>31</v>
      </c>
      <c r="AK179" s="35"/>
      <c r="AL179" s="35"/>
      <c r="AM179" s="35"/>
      <c r="AN179" s="39">
        <f t="shared" si="551"/>
        <v>31</v>
      </c>
      <c r="AO179" s="35"/>
      <c r="AP179" s="35"/>
      <c r="AQ179" s="35"/>
      <c r="AR179" s="39">
        <f t="shared" si="552"/>
        <v>31</v>
      </c>
      <c r="AS179" s="35"/>
      <c r="AT179" s="35"/>
      <c r="AU179" s="35"/>
      <c r="AV179" s="39">
        <f t="shared" si="553"/>
        <v>31</v>
      </c>
      <c r="AW179" s="35"/>
      <c r="AX179" s="35"/>
      <c r="AY179" s="35"/>
      <c r="AZ179" s="39">
        <f t="shared" si="554"/>
        <v>31</v>
      </c>
      <c r="BA179" s="35"/>
      <c r="BB179" s="35"/>
      <c r="BC179" s="35"/>
      <c r="BD179" s="39">
        <f t="shared" si="555"/>
        <v>31</v>
      </c>
      <c r="BE179" s="35"/>
      <c r="BF179" s="35"/>
      <c r="BG179" s="35"/>
      <c r="BH179" s="39">
        <f t="shared" si="556"/>
        <v>31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35" t="s">
        <v>159</v>
      </c>
      <c r="C180" s="35">
        <v>42.0</v>
      </c>
      <c r="D180" s="35">
        <v>423.0</v>
      </c>
      <c r="E180" s="35">
        <v>21.0</v>
      </c>
      <c r="F180" s="21">
        <f t="shared" si="542"/>
        <v>22</v>
      </c>
      <c r="G180" s="63">
        <f t="shared" si="543"/>
        <v>0.6363636364</v>
      </c>
      <c r="H180" s="39">
        <v>2.0</v>
      </c>
      <c r="I180" s="39">
        <f t="shared" si="544"/>
        <v>2</v>
      </c>
      <c r="J180" s="39"/>
      <c r="K180" s="35" t="s">
        <v>160</v>
      </c>
      <c r="L180" s="21">
        <v>2025.0</v>
      </c>
      <c r="M180" s="35"/>
      <c r="N180" s="35"/>
      <c r="O180" s="35"/>
      <c r="P180" s="39">
        <f t="shared" si="545"/>
        <v>2</v>
      </c>
      <c r="Q180" s="35">
        <v>2.0</v>
      </c>
      <c r="R180" s="35">
        <v>10.0</v>
      </c>
      <c r="S180" s="35"/>
      <c r="T180" s="39">
        <f t="shared" si="546"/>
        <v>14</v>
      </c>
      <c r="U180" s="35"/>
      <c r="V180" s="35"/>
      <c r="W180" s="35"/>
      <c r="X180" s="39">
        <f t="shared" si="547"/>
        <v>14</v>
      </c>
      <c r="Y180" s="35"/>
      <c r="Z180" s="35"/>
      <c r="AA180" s="35"/>
      <c r="AB180" s="39">
        <f t="shared" si="548"/>
        <v>14</v>
      </c>
      <c r="AC180" s="35"/>
      <c r="AD180" s="35"/>
      <c r="AE180" s="35"/>
      <c r="AF180" s="39">
        <f t="shared" si="549"/>
        <v>14</v>
      </c>
      <c r="AG180" s="35"/>
      <c r="AH180" s="35"/>
      <c r="AI180" s="35"/>
      <c r="AJ180" s="39">
        <f t="shared" si="550"/>
        <v>14</v>
      </c>
      <c r="AK180" s="35"/>
      <c r="AL180" s="35"/>
      <c r="AM180" s="35"/>
      <c r="AN180" s="39">
        <f t="shared" si="551"/>
        <v>14</v>
      </c>
      <c r="AO180" s="35"/>
      <c r="AP180" s="35"/>
      <c r="AQ180" s="35"/>
      <c r="AR180" s="39">
        <f t="shared" si="552"/>
        <v>14</v>
      </c>
      <c r="AS180" s="35"/>
      <c r="AT180" s="35"/>
      <c r="AU180" s="35"/>
      <c r="AV180" s="39">
        <f t="shared" si="553"/>
        <v>14</v>
      </c>
      <c r="AW180" s="35"/>
      <c r="AX180" s="35"/>
      <c r="AY180" s="35"/>
      <c r="AZ180" s="39">
        <f t="shared" si="554"/>
        <v>14</v>
      </c>
      <c r="BA180" s="35"/>
      <c r="BB180" s="35"/>
      <c r="BC180" s="35"/>
      <c r="BD180" s="39">
        <f t="shared" si="555"/>
        <v>14</v>
      </c>
      <c r="BE180" s="35"/>
      <c r="BF180" s="35"/>
      <c r="BG180" s="35"/>
      <c r="BH180" s="39">
        <f t="shared" si="556"/>
        <v>14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161</v>
      </c>
      <c r="C181" s="21">
        <v>96.0</v>
      </c>
      <c r="D181" s="21">
        <v>2496.0</v>
      </c>
      <c r="E181" s="21">
        <v>35.0</v>
      </c>
      <c r="F181" s="21">
        <f t="shared" si="542"/>
        <v>36</v>
      </c>
      <c r="G181" s="63">
        <f t="shared" si="543"/>
        <v>0.8888888889</v>
      </c>
      <c r="H181" s="25">
        <v>5.0</v>
      </c>
      <c r="I181" s="25">
        <f t="shared" si="544"/>
        <v>5</v>
      </c>
      <c r="J181" s="25"/>
      <c r="K181" s="21">
        <v>2027.0</v>
      </c>
      <c r="L181" s="21">
        <v>2026.0</v>
      </c>
      <c r="M181" s="21"/>
      <c r="N181" s="21"/>
      <c r="O181" s="21"/>
      <c r="P181" s="25">
        <f t="shared" si="545"/>
        <v>5</v>
      </c>
      <c r="Q181" s="21"/>
      <c r="R181" s="21">
        <v>27.0</v>
      </c>
      <c r="S181" s="21"/>
      <c r="T181" s="25">
        <f t="shared" si="546"/>
        <v>32</v>
      </c>
      <c r="U181" s="21"/>
      <c r="V181" s="21"/>
      <c r="W181" s="21"/>
      <c r="X181" s="25">
        <f t="shared" si="547"/>
        <v>32</v>
      </c>
      <c r="Y181" s="21"/>
      <c r="Z181" s="21"/>
      <c r="AA181" s="21"/>
      <c r="AB181" s="25">
        <f t="shared" si="548"/>
        <v>32</v>
      </c>
      <c r="AC181" s="21"/>
      <c r="AD181" s="21"/>
      <c r="AE181" s="21"/>
      <c r="AF181" s="25">
        <f t="shared" si="549"/>
        <v>32</v>
      </c>
      <c r="AG181" s="21"/>
      <c r="AH181" s="21"/>
      <c r="AI181" s="21"/>
      <c r="AJ181" s="25">
        <f t="shared" si="550"/>
        <v>32</v>
      </c>
      <c r="AK181" s="21"/>
      <c r="AL181" s="21"/>
      <c r="AM181" s="21"/>
      <c r="AN181" s="25">
        <f t="shared" si="551"/>
        <v>32</v>
      </c>
      <c r="AO181" s="21"/>
      <c r="AP181" s="21"/>
      <c r="AQ181" s="21"/>
      <c r="AR181" s="25">
        <f t="shared" si="552"/>
        <v>32</v>
      </c>
      <c r="AS181" s="21"/>
      <c r="AT181" s="21"/>
      <c r="AU181" s="21"/>
      <c r="AV181" s="25">
        <f t="shared" si="553"/>
        <v>32</v>
      </c>
      <c r="AW181" s="21"/>
      <c r="AX181" s="21"/>
      <c r="AY181" s="21"/>
      <c r="AZ181" s="25">
        <f t="shared" si="554"/>
        <v>32</v>
      </c>
      <c r="BA181" s="21"/>
      <c r="BB181" s="21"/>
      <c r="BC181" s="21"/>
      <c r="BD181" s="25">
        <f t="shared" si="555"/>
        <v>32</v>
      </c>
      <c r="BE181" s="21"/>
      <c r="BF181" s="21"/>
      <c r="BG181" s="21"/>
      <c r="BH181" s="25">
        <f t="shared" si="556"/>
        <v>32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21"/>
      <c r="B182" s="21"/>
      <c r="C182" s="21"/>
      <c r="D182" s="21"/>
      <c r="E182" s="21"/>
      <c r="F182" s="21"/>
      <c r="G182" s="21"/>
      <c r="H182" s="25"/>
      <c r="I182" s="25"/>
      <c r="J182" s="25"/>
      <c r="K182" s="21"/>
      <c r="L182" s="21"/>
      <c r="M182" s="21">
        <f t="shared" ref="M182:O182" si="557">SUM(M173:M181)</f>
        <v>0</v>
      </c>
      <c r="N182" s="21">
        <f t="shared" si="557"/>
        <v>5</v>
      </c>
      <c r="O182" s="21">
        <f t="shared" si="557"/>
        <v>0</v>
      </c>
      <c r="P182" s="25">
        <f t="shared" ref="P182:BH182" si="558">SUM(P172:P181)</f>
        <v>99</v>
      </c>
      <c r="Q182" s="25">
        <f t="shared" si="558"/>
        <v>3</v>
      </c>
      <c r="R182" s="25">
        <f t="shared" si="558"/>
        <v>60</v>
      </c>
      <c r="S182" s="25">
        <f t="shared" si="558"/>
        <v>3</v>
      </c>
      <c r="T182" s="25">
        <f t="shared" si="558"/>
        <v>165</v>
      </c>
      <c r="U182" s="25">
        <f t="shared" si="558"/>
        <v>0</v>
      </c>
      <c r="V182" s="25">
        <f t="shared" si="558"/>
        <v>0</v>
      </c>
      <c r="W182" s="25">
        <f t="shared" si="558"/>
        <v>0</v>
      </c>
      <c r="X182" s="25">
        <f t="shared" si="558"/>
        <v>165</v>
      </c>
      <c r="Y182" s="25">
        <f t="shared" si="558"/>
        <v>0</v>
      </c>
      <c r="Z182" s="25">
        <f t="shared" si="558"/>
        <v>0</v>
      </c>
      <c r="AA182" s="25">
        <f t="shared" si="558"/>
        <v>0</v>
      </c>
      <c r="AB182" s="25">
        <f t="shared" si="558"/>
        <v>165</v>
      </c>
      <c r="AC182" s="25">
        <f t="shared" si="558"/>
        <v>0</v>
      </c>
      <c r="AD182" s="25">
        <f t="shared" si="558"/>
        <v>0</v>
      </c>
      <c r="AE182" s="25">
        <f t="shared" si="558"/>
        <v>0</v>
      </c>
      <c r="AF182" s="25">
        <f t="shared" si="558"/>
        <v>165</v>
      </c>
      <c r="AG182" s="25">
        <f t="shared" si="558"/>
        <v>0</v>
      </c>
      <c r="AH182" s="25">
        <f t="shared" si="558"/>
        <v>0</v>
      </c>
      <c r="AI182" s="25">
        <f t="shared" si="558"/>
        <v>0</v>
      </c>
      <c r="AJ182" s="25">
        <f t="shared" si="558"/>
        <v>165</v>
      </c>
      <c r="AK182" s="25">
        <f t="shared" si="558"/>
        <v>0</v>
      </c>
      <c r="AL182" s="25">
        <f t="shared" si="558"/>
        <v>0</v>
      </c>
      <c r="AM182" s="25">
        <f t="shared" si="558"/>
        <v>0</v>
      </c>
      <c r="AN182" s="25">
        <f t="shared" si="558"/>
        <v>165</v>
      </c>
      <c r="AO182" s="25">
        <f t="shared" si="558"/>
        <v>0</v>
      </c>
      <c r="AP182" s="25">
        <f t="shared" si="558"/>
        <v>0</v>
      </c>
      <c r="AQ182" s="25">
        <f t="shared" si="558"/>
        <v>0</v>
      </c>
      <c r="AR182" s="25">
        <f t="shared" si="558"/>
        <v>165</v>
      </c>
      <c r="AS182" s="25">
        <f t="shared" si="558"/>
        <v>0</v>
      </c>
      <c r="AT182" s="25">
        <f t="shared" si="558"/>
        <v>0</v>
      </c>
      <c r="AU182" s="25">
        <f t="shared" si="558"/>
        <v>0</v>
      </c>
      <c r="AV182" s="25">
        <f t="shared" si="558"/>
        <v>165</v>
      </c>
      <c r="AW182" s="25">
        <f t="shared" si="558"/>
        <v>0</v>
      </c>
      <c r="AX182" s="25">
        <f t="shared" si="558"/>
        <v>0</v>
      </c>
      <c r="AY182" s="25">
        <f t="shared" si="558"/>
        <v>0</v>
      </c>
      <c r="AZ182" s="25">
        <f t="shared" si="558"/>
        <v>165</v>
      </c>
      <c r="BA182" s="25">
        <f t="shared" si="558"/>
        <v>0</v>
      </c>
      <c r="BB182" s="25">
        <f t="shared" si="558"/>
        <v>7</v>
      </c>
      <c r="BC182" s="25">
        <f t="shared" si="558"/>
        <v>0</v>
      </c>
      <c r="BD182" s="25">
        <f t="shared" si="558"/>
        <v>172</v>
      </c>
      <c r="BE182" s="25">
        <f t="shared" si="558"/>
        <v>1</v>
      </c>
      <c r="BF182" s="25">
        <f t="shared" si="558"/>
        <v>13</v>
      </c>
      <c r="BG182" s="25">
        <f t="shared" si="558"/>
        <v>0</v>
      </c>
      <c r="BH182" s="25">
        <f t="shared" si="558"/>
        <v>186</v>
      </c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21"/>
      <c r="B183" s="21" t="s">
        <v>35</v>
      </c>
      <c r="C183" s="21">
        <f>COUNT(C173:C181)</f>
        <v>9</v>
      </c>
      <c r="D183" s="21"/>
      <c r="E183" s="21">
        <f>SUM(E172:E181)</f>
        <v>246</v>
      </c>
      <c r="F183" s="21">
        <f>SUM(E172:E181)+1</f>
        <v>247</v>
      </c>
      <c r="G183" s="22">
        <f>$BH182/F183</f>
        <v>0.7530364372</v>
      </c>
      <c r="H183" s="25">
        <f t="shared" ref="H183:J183" si="559">SUM(H172:H181)</f>
        <v>94</v>
      </c>
      <c r="I183" s="25">
        <f t="shared" si="559"/>
        <v>94</v>
      </c>
      <c r="J183" s="25">
        <f t="shared" si="559"/>
        <v>0</v>
      </c>
      <c r="K183" s="21"/>
      <c r="L183" s="21"/>
      <c r="M183" s="21"/>
      <c r="N183" s="21"/>
      <c r="O183" s="21"/>
      <c r="P183" s="22">
        <f>P182/F183</f>
        <v>0.4008097166</v>
      </c>
      <c r="Q183" s="25">
        <f t="shared" ref="Q183:S183" si="560">M182+Q182</f>
        <v>3</v>
      </c>
      <c r="R183" s="25">
        <f t="shared" si="560"/>
        <v>65</v>
      </c>
      <c r="S183" s="25">
        <f t="shared" si="560"/>
        <v>3</v>
      </c>
      <c r="T183" s="22">
        <f>T182/F183</f>
        <v>0.6680161943</v>
      </c>
      <c r="U183" s="25">
        <f t="shared" ref="U183:W183" si="561">Q183+U182</f>
        <v>3</v>
      </c>
      <c r="V183" s="25">
        <f t="shared" si="561"/>
        <v>65</v>
      </c>
      <c r="W183" s="25">
        <f t="shared" si="561"/>
        <v>3</v>
      </c>
      <c r="X183" s="22">
        <f>X182/F183</f>
        <v>0.6680161943</v>
      </c>
      <c r="Y183" s="25">
        <f t="shared" ref="Y183:AA183" si="562">U183+Y182</f>
        <v>3</v>
      </c>
      <c r="Z183" s="25">
        <f t="shared" si="562"/>
        <v>65</v>
      </c>
      <c r="AA183" s="25">
        <f t="shared" si="562"/>
        <v>3</v>
      </c>
      <c r="AB183" s="22">
        <f>AB182/F183</f>
        <v>0.6680161943</v>
      </c>
      <c r="AC183" s="25">
        <f t="shared" ref="AC183:AE183" si="563">Y183+AC182</f>
        <v>3</v>
      </c>
      <c r="AD183" s="25">
        <f t="shared" si="563"/>
        <v>65</v>
      </c>
      <c r="AE183" s="25">
        <f t="shared" si="563"/>
        <v>3</v>
      </c>
      <c r="AF183" s="22">
        <f>AF182/F183</f>
        <v>0.6680161943</v>
      </c>
      <c r="AG183" s="25">
        <f t="shared" ref="AG183:AI183" si="564">AC183+AG182</f>
        <v>3</v>
      </c>
      <c r="AH183" s="25">
        <f t="shared" si="564"/>
        <v>65</v>
      </c>
      <c r="AI183" s="25">
        <f t="shared" si="564"/>
        <v>3</v>
      </c>
      <c r="AJ183" s="22">
        <f>AJ182/F183</f>
        <v>0.6680161943</v>
      </c>
      <c r="AK183" s="25">
        <f t="shared" ref="AK183:AM183" si="565">AG183+AK182</f>
        <v>3</v>
      </c>
      <c r="AL183" s="25">
        <f t="shared" si="565"/>
        <v>65</v>
      </c>
      <c r="AM183" s="25">
        <f t="shared" si="565"/>
        <v>3</v>
      </c>
      <c r="AN183" s="22">
        <f>AN182/F183</f>
        <v>0.6680161943</v>
      </c>
      <c r="AO183" s="25">
        <f t="shared" ref="AO183:AQ183" si="566">AK183+AO182</f>
        <v>3</v>
      </c>
      <c r="AP183" s="25">
        <f t="shared" si="566"/>
        <v>65</v>
      </c>
      <c r="AQ183" s="25">
        <f t="shared" si="566"/>
        <v>3</v>
      </c>
      <c r="AR183" s="22">
        <f>AR182/F183</f>
        <v>0.6680161943</v>
      </c>
      <c r="AS183" s="25">
        <f t="shared" ref="AS183:AU183" si="567">AO183+AS182</f>
        <v>3</v>
      </c>
      <c r="AT183" s="25">
        <f t="shared" si="567"/>
        <v>65</v>
      </c>
      <c r="AU183" s="25">
        <f t="shared" si="567"/>
        <v>3</v>
      </c>
      <c r="AV183" s="22">
        <f>AV182/F183</f>
        <v>0.6680161943</v>
      </c>
      <c r="AW183" s="25">
        <f t="shared" ref="AW183:AY183" si="568">AS183+AW182</f>
        <v>3</v>
      </c>
      <c r="AX183" s="25">
        <f t="shared" si="568"/>
        <v>65</v>
      </c>
      <c r="AY183" s="25">
        <f t="shared" si="568"/>
        <v>3</v>
      </c>
      <c r="AZ183" s="22">
        <f>AZ182/F183</f>
        <v>0.6680161943</v>
      </c>
      <c r="BA183" s="25">
        <f t="shared" ref="BA183:BC183" si="569">AW183+BA182</f>
        <v>3</v>
      </c>
      <c r="BB183" s="25">
        <f t="shared" si="569"/>
        <v>72</v>
      </c>
      <c r="BC183" s="25">
        <f t="shared" si="569"/>
        <v>3</v>
      </c>
      <c r="BD183" s="22">
        <f>BD182/F183</f>
        <v>0.6963562753</v>
      </c>
      <c r="BE183" s="25">
        <f t="shared" ref="BE183:BG183" si="570">BA183+BE182</f>
        <v>4</v>
      </c>
      <c r="BF183" s="25">
        <f t="shared" si="570"/>
        <v>85</v>
      </c>
      <c r="BG183" s="25">
        <f t="shared" si="570"/>
        <v>3</v>
      </c>
      <c r="BH183" s="22">
        <f>BH182/F183</f>
        <v>0.7530364372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31"/>
      <c r="I184" s="31"/>
      <c r="J184" s="3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3" t="s">
        <v>162</v>
      </c>
      <c r="B185" s="21"/>
      <c r="C185" s="21"/>
      <c r="D185" s="21"/>
      <c r="E185" s="113"/>
      <c r="F185" s="21"/>
      <c r="G185" s="22"/>
      <c r="H185" s="25"/>
      <c r="I185" s="25"/>
      <c r="J185" s="25"/>
      <c r="K185" s="21">
        <v>2027.0</v>
      </c>
      <c r="L185" s="21">
        <v>2025.0</v>
      </c>
      <c r="M185" s="21"/>
      <c r="N185" s="21"/>
      <c r="O185" s="21"/>
      <c r="P185" s="25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2.0</v>
      </c>
      <c r="D186" s="35">
        <v>246.0</v>
      </c>
      <c r="E186" s="35">
        <v>22.0</v>
      </c>
      <c r="F186" s="21">
        <f t="shared" ref="F186:F197" si="571">E186+1</f>
        <v>23</v>
      </c>
      <c r="G186" s="63">
        <f t="shared" ref="G186:G197" si="572">$BH186/F186</f>
        <v>1.043478261</v>
      </c>
      <c r="H186" s="39">
        <v>10.0</v>
      </c>
      <c r="I186" s="39">
        <f t="shared" ref="I186:I197" si="573">+H186+J186</f>
        <v>14</v>
      </c>
      <c r="J186" s="73">
        <v>4.0</v>
      </c>
      <c r="K186" s="21">
        <v>2027.0</v>
      </c>
      <c r="L186" s="21">
        <v>2025.0</v>
      </c>
      <c r="M186" s="35"/>
      <c r="N186" s="35"/>
      <c r="O186" s="35"/>
      <c r="P186" s="39">
        <f t="shared" ref="P186:P197" si="574">SUM(M186:O186)+H186</f>
        <v>10</v>
      </c>
      <c r="Q186" s="35"/>
      <c r="R186" s="35"/>
      <c r="S186" s="35"/>
      <c r="T186" s="39">
        <f t="shared" ref="T186:T197" si="575">SUM(P186:S186)</f>
        <v>10</v>
      </c>
      <c r="U186" s="35"/>
      <c r="V186" s="35"/>
      <c r="W186" s="35"/>
      <c r="X186" s="39">
        <f t="shared" ref="X186:X197" si="576">SUM(T186:W186)</f>
        <v>10</v>
      </c>
      <c r="Y186" s="35">
        <v>1.0</v>
      </c>
      <c r="Z186" s="35">
        <v>13.0</v>
      </c>
      <c r="AA186" s="35"/>
      <c r="AB186" s="39">
        <f t="shared" ref="AB186:AB197" si="577">SUM(X186:AA186)</f>
        <v>24</v>
      </c>
      <c r="AC186" s="35"/>
      <c r="AD186" s="35"/>
      <c r="AE186" s="35"/>
      <c r="AF186" s="39">
        <f t="shared" ref="AF186:AF197" si="578">SUM(AB186:AE186)</f>
        <v>24</v>
      </c>
      <c r="AG186" s="35"/>
      <c r="AH186" s="35"/>
      <c r="AI186" s="35"/>
      <c r="AJ186" s="39">
        <f t="shared" ref="AJ186:AJ197" si="579">SUM(AF186:AI186)</f>
        <v>24</v>
      </c>
      <c r="AK186" s="35"/>
      <c r="AL186" s="35"/>
      <c r="AM186" s="35"/>
      <c r="AN186" s="39">
        <f t="shared" ref="AN186:AN197" si="580">SUM(AJ186:AM186)</f>
        <v>24</v>
      </c>
      <c r="AO186" s="35"/>
      <c r="AP186" s="35"/>
      <c r="AQ186" s="35"/>
      <c r="AR186" s="39">
        <f t="shared" ref="AR186:AR197" si="581">SUM(AN186:AQ186)</f>
        <v>24</v>
      </c>
      <c r="AS186" s="35"/>
      <c r="AT186" s="35"/>
      <c r="AU186" s="35"/>
      <c r="AV186" s="39">
        <f t="shared" ref="AV186:AV197" si="582">SUM(AR186:AU186)</f>
        <v>24</v>
      </c>
      <c r="AW186" s="35"/>
      <c r="AX186" s="35"/>
      <c r="AY186" s="35"/>
      <c r="AZ186" s="39">
        <f t="shared" ref="AZ186:AZ197" si="583">SUM(AV186:AY186)</f>
        <v>24</v>
      </c>
      <c r="BA186" s="35"/>
      <c r="BB186" s="35"/>
      <c r="BC186" s="35"/>
      <c r="BD186" s="39">
        <f t="shared" ref="BD186:BD197" si="584">SUM(AZ186:BC186)</f>
        <v>24</v>
      </c>
      <c r="BE186" s="35"/>
      <c r="BF186" s="35"/>
      <c r="BG186" s="35"/>
      <c r="BH186" s="39">
        <f t="shared" ref="BH186:BH197" si="585">SUM(BD186:BG186)</f>
        <v>24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5.0</v>
      </c>
      <c r="D187" s="35">
        <v>137.0</v>
      </c>
      <c r="E187" s="35">
        <v>16.0</v>
      </c>
      <c r="F187" s="21">
        <f t="shared" si="571"/>
        <v>17</v>
      </c>
      <c r="G187" s="63">
        <f t="shared" si="572"/>
        <v>0.9411764706</v>
      </c>
      <c r="H187" s="39">
        <v>11.0</v>
      </c>
      <c r="I187" s="39">
        <f t="shared" si="573"/>
        <v>11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4"/>
        <v>11</v>
      </c>
      <c r="Q187" s="35"/>
      <c r="R187" s="35"/>
      <c r="S187" s="35"/>
      <c r="T187" s="39">
        <f t="shared" si="575"/>
        <v>11</v>
      </c>
      <c r="U187" s="35"/>
      <c r="V187" s="35"/>
      <c r="W187" s="35"/>
      <c r="X187" s="39">
        <f t="shared" si="576"/>
        <v>11</v>
      </c>
      <c r="Y187" s="35"/>
      <c r="Z187" s="35">
        <v>5.0</v>
      </c>
      <c r="AA187" s="35"/>
      <c r="AB187" s="39">
        <f t="shared" si="577"/>
        <v>16</v>
      </c>
      <c r="AC187" s="35"/>
      <c r="AD187" s="35"/>
      <c r="AE187" s="35"/>
      <c r="AF187" s="39">
        <f t="shared" si="578"/>
        <v>16</v>
      </c>
      <c r="AG187" s="35"/>
      <c r="AH187" s="35"/>
      <c r="AI187" s="35"/>
      <c r="AJ187" s="39">
        <f t="shared" si="579"/>
        <v>16</v>
      </c>
      <c r="AK187" s="35"/>
      <c r="AL187" s="35"/>
      <c r="AM187" s="35"/>
      <c r="AN187" s="39">
        <f t="shared" si="580"/>
        <v>16</v>
      </c>
      <c r="AO187" s="35"/>
      <c r="AP187" s="35"/>
      <c r="AQ187" s="35"/>
      <c r="AR187" s="39">
        <f t="shared" si="581"/>
        <v>16</v>
      </c>
      <c r="AS187" s="35"/>
      <c r="AT187" s="35"/>
      <c r="AU187" s="35"/>
      <c r="AV187" s="39">
        <f t="shared" si="582"/>
        <v>16</v>
      </c>
      <c r="AW187" s="35"/>
      <c r="AX187" s="35"/>
      <c r="AY187" s="35"/>
      <c r="AZ187" s="39">
        <f t="shared" si="583"/>
        <v>16</v>
      </c>
      <c r="BA187" s="35"/>
      <c r="BB187" s="35"/>
      <c r="BC187" s="35"/>
      <c r="BD187" s="39">
        <f t="shared" si="584"/>
        <v>16</v>
      </c>
      <c r="BE187" s="35"/>
      <c r="BF187" s="35"/>
      <c r="BG187" s="35"/>
      <c r="BH187" s="39">
        <f t="shared" si="585"/>
        <v>16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110" t="s">
        <v>165</v>
      </c>
      <c r="C188" s="35">
        <v>15.0</v>
      </c>
      <c r="D188" s="35">
        <v>425.0</v>
      </c>
      <c r="E188" s="35">
        <v>24.0</v>
      </c>
      <c r="F188" s="21">
        <f t="shared" si="571"/>
        <v>25</v>
      </c>
      <c r="G188" s="63">
        <f t="shared" si="572"/>
        <v>1.04</v>
      </c>
      <c r="H188" s="39">
        <v>21.0</v>
      </c>
      <c r="I188" s="39">
        <f t="shared" si="573"/>
        <v>21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4"/>
        <v>21</v>
      </c>
      <c r="Q188" s="35"/>
      <c r="R188" s="35"/>
      <c r="S188" s="35"/>
      <c r="T188" s="39">
        <f t="shared" si="575"/>
        <v>21</v>
      </c>
      <c r="U188" s="35"/>
      <c r="V188" s="35"/>
      <c r="W188" s="35"/>
      <c r="X188" s="39">
        <f t="shared" si="576"/>
        <v>21</v>
      </c>
      <c r="Y188" s="35">
        <v>1.0</v>
      </c>
      <c r="Z188" s="35">
        <v>3.0</v>
      </c>
      <c r="AA188" s="35"/>
      <c r="AB188" s="39">
        <f t="shared" si="577"/>
        <v>25</v>
      </c>
      <c r="AC188" s="35"/>
      <c r="AD188" s="35"/>
      <c r="AE188" s="35"/>
      <c r="AF188" s="39">
        <f t="shared" si="578"/>
        <v>25</v>
      </c>
      <c r="AG188" s="35"/>
      <c r="AH188" s="35"/>
      <c r="AI188" s="35"/>
      <c r="AJ188" s="39">
        <f t="shared" si="579"/>
        <v>25</v>
      </c>
      <c r="AK188" s="35"/>
      <c r="AL188" s="35"/>
      <c r="AM188" s="35"/>
      <c r="AN188" s="39">
        <f t="shared" si="580"/>
        <v>25</v>
      </c>
      <c r="AO188" s="35"/>
      <c r="AP188" s="35"/>
      <c r="AQ188" s="35"/>
      <c r="AR188" s="39">
        <f t="shared" si="581"/>
        <v>25</v>
      </c>
      <c r="AS188" s="35"/>
      <c r="AT188" s="35"/>
      <c r="AU188" s="35"/>
      <c r="AV188" s="39">
        <f t="shared" si="582"/>
        <v>25</v>
      </c>
      <c r="AW188" s="35"/>
      <c r="AX188" s="35"/>
      <c r="AY188" s="35"/>
      <c r="AZ188" s="39">
        <f t="shared" si="583"/>
        <v>25</v>
      </c>
      <c r="BA188" s="41">
        <v>1.0</v>
      </c>
      <c r="BB188" s="35"/>
      <c r="BC188" s="35"/>
      <c r="BD188" s="39">
        <f t="shared" si="584"/>
        <v>26</v>
      </c>
      <c r="BE188" s="35"/>
      <c r="BF188" s="35"/>
      <c r="BG188" s="35"/>
      <c r="BH188" s="39">
        <f t="shared" si="585"/>
        <v>26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166</v>
      </c>
      <c r="C189" s="35">
        <v>19.0</v>
      </c>
      <c r="D189" s="35">
        <v>1216.0</v>
      </c>
      <c r="E189" s="35">
        <v>18.0</v>
      </c>
      <c r="F189" s="21">
        <f t="shared" si="571"/>
        <v>19</v>
      </c>
      <c r="G189" s="63">
        <f t="shared" si="572"/>
        <v>1</v>
      </c>
      <c r="H189" s="39">
        <v>6.0</v>
      </c>
      <c r="I189" s="39">
        <f t="shared" si="573"/>
        <v>6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4"/>
        <v>6</v>
      </c>
      <c r="Q189" s="35"/>
      <c r="R189" s="35"/>
      <c r="S189" s="35"/>
      <c r="T189" s="39">
        <f t="shared" si="575"/>
        <v>6</v>
      </c>
      <c r="U189" s="35"/>
      <c r="V189" s="35"/>
      <c r="W189" s="35"/>
      <c r="X189" s="39">
        <f t="shared" si="576"/>
        <v>6</v>
      </c>
      <c r="Y189" s="35">
        <v>1.0</v>
      </c>
      <c r="Z189" s="35">
        <v>12.0</v>
      </c>
      <c r="AA189" s="35"/>
      <c r="AB189" s="39">
        <f t="shared" si="577"/>
        <v>19</v>
      </c>
      <c r="AC189" s="35"/>
      <c r="AD189" s="35"/>
      <c r="AE189" s="35"/>
      <c r="AF189" s="39">
        <f t="shared" si="578"/>
        <v>19</v>
      </c>
      <c r="AG189" s="35"/>
      <c r="AH189" s="35"/>
      <c r="AI189" s="35"/>
      <c r="AJ189" s="39">
        <f t="shared" si="579"/>
        <v>19</v>
      </c>
      <c r="AK189" s="35"/>
      <c r="AL189" s="35"/>
      <c r="AM189" s="35"/>
      <c r="AN189" s="39">
        <f t="shared" si="580"/>
        <v>19</v>
      </c>
      <c r="AO189" s="35"/>
      <c r="AP189" s="35"/>
      <c r="AQ189" s="35"/>
      <c r="AR189" s="39">
        <f t="shared" si="581"/>
        <v>19</v>
      </c>
      <c r="AS189" s="35"/>
      <c r="AT189" s="35"/>
      <c r="AU189" s="35"/>
      <c r="AV189" s="39">
        <f t="shared" si="582"/>
        <v>19</v>
      </c>
      <c r="AW189" s="35"/>
      <c r="AX189" s="35"/>
      <c r="AY189" s="35"/>
      <c r="AZ189" s="39">
        <f t="shared" si="583"/>
        <v>19</v>
      </c>
      <c r="BA189" s="35"/>
      <c r="BB189" s="35"/>
      <c r="BC189" s="35"/>
      <c r="BD189" s="39">
        <f t="shared" si="584"/>
        <v>19</v>
      </c>
      <c r="BE189" s="35"/>
      <c r="BF189" s="35"/>
      <c r="BG189" s="35"/>
      <c r="BH189" s="39">
        <f t="shared" si="585"/>
        <v>19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35" t="s">
        <v>167</v>
      </c>
      <c r="C190" s="35">
        <v>34.0</v>
      </c>
      <c r="D190" s="35"/>
      <c r="E190" s="35">
        <v>15.0</v>
      </c>
      <c r="F190" s="21">
        <f t="shared" si="571"/>
        <v>16</v>
      </c>
      <c r="G190" s="63">
        <f t="shared" si="572"/>
        <v>0.9375</v>
      </c>
      <c r="H190" s="39">
        <v>12.0</v>
      </c>
      <c r="I190" s="39">
        <f t="shared" si="573"/>
        <v>12</v>
      </c>
      <c r="J190" s="39"/>
      <c r="K190" s="21">
        <v>2027.0</v>
      </c>
      <c r="L190" s="21">
        <v>2025.0</v>
      </c>
      <c r="M190" s="35"/>
      <c r="N190" s="35"/>
      <c r="O190" s="35"/>
      <c r="P190" s="39">
        <f t="shared" si="574"/>
        <v>12</v>
      </c>
      <c r="Q190" s="35"/>
      <c r="R190" s="35"/>
      <c r="S190" s="35"/>
      <c r="T190" s="39">
        <f t="shared" si="575"/>
        <v>12</v>
      </c>
      <c r="U190" s="35"/>
      <c r="V190" s="35"/>
      <c r="W190" s="35"/>
      <c r="X190" s="39">
        <f t="shared" si="576"/>
        <v>12</v>
      </c>
      <c r="Y190" s="35"/>
      <c r="Z190" s="35">
        <v>3.0</v>
      </c>
      <c r="AA190" s="35"/>
      <c r="AB190" s="39">
        <f t="shared" si="577"/>
        <v>15</v>
      </c>
      <c r="AC190" s="35"/>
      <c r="AD190" s="35"/>
      <c r="AE190" s="35"/>
      <c r="AF190" s="39">
        <f t="shared" si="578"/>
        <v>15</v>
      </c>
      <c r="AG190" s="35"/>
      <c r="AH190" s="35"/>
      <c r="AI190" s="35"/>
      <c r="AJ190" s="39">
        <f t="shared" si="579"/>
        <v>15</v>
      </c>
      <c r="AK190" s="35"/>
      <c r="AL190" s="35"/>
      <c r="AM190" s="35"/>
      <c r="AN190" s="39">
        <f t="shared" si="580"/>
        <v>15</v>
      </c>
      <c r="AO190" s="35"/>
      <c r="AP190" s="35"/>
      <c r="AQ190" s="35"/>
      <c r="AR190" s="39">
        <f t="shared" si="581"/>
        <v>15</v>
      </c>
      <c r="AS190" s="35"/>
      <c r="AT190" s="35"/>
      <c r="AU190" s="35"/>
      <c r="AV190" s="39">
        <f t="shared" si="582"/>
        <v>15</v>
      </c>
      <c r="AW190" s="35"/>
      <c r="AX190" s="35"/>
      <c r="AY190" s="35"/>
      <c r="AZ190" s="39">
        <f t="shared" si="583"/>
        <v>15</v>
      </c>
      <c r="BA190" s="35"/>
      <c r="BB190" s="35"/>
      <c r="BC190" s="35"/>
      <c r="BD190" s="39">
        <f t="shared" si="584"/>
        <v>15</v>
      </c>
      <c r="BE190" s="35"/>
      <c r="BF190" s="35"/>
      <c r="BG190" s="35"/>
      <c r="BH190" s="39">
        <f t="shared" si="585"/>
        <v>15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35"/>
      <c r="B191" s="35" t="s">
        <v>168</v>
      </c>
      <c r="C191" s="35">
        <v>42.0</v>
      </c>
      <c r="D191" s="35">
        <v>2793.0</v>
      </c>
      <c r="E191" s="35">
        <v>22.0</v>
      </c>
      <c r="F191" s="21">
        <f t="shared" si="571"/>
        <v>23</v>
      </c>
      <c r="G191" s="63">
        <f t="shared" si="572"/>
        <v>1</v>
      </c>
      <c r="H191" s="39">
        <v>10.0</v>
      </c>
      <c r="I191" s="39">
        <f t="shared" si="573"/>
        <v>10</v>
      </c>
      <c r="J191" s="39"/>
      <c r="K191" s="21">
        <v>2027.0</v>
      </c>
      <c r="L191" s="21">
        <v>2025.0</v>
      </c>
      <c r="M191" s="35"/>
      <c r="N191" s="35"/>
      <c r="O191" s="35"/>
      <c r="P191" s="39">
        <f t="shared" si="574"/>
        <v>10</v>
      </c>
      <c r="Q191" s="35"/>
      <c r="R191" s="35"/>
      <c r="S191" s="35"/>
      <c r="T191" s="39">
        <f t="shared" si="575"/>
        <v>10</v>
      </c>
      <c r="U191" s="35"/>
      <c r="V191" s="35"/>
      <c r="W191" s="35"/>
      <c r="X191" s="39">
        <f t="shared" si="576"/>
        <v>10</v>
      </c>
      <c r="Y191" s="35"/>
      <c r="Z191" s="35"/>
      <c r="AA191" s="35"/>
      <c r="AB191" s="39">
        <f t="shared" si="577"/>
        <v>10</v>
      </c>
      <c r="AC191" s="35"/>
      <c r="AD191" s="35"/>
      <c r="AE191" s="35"/>
      <c r="AF191" s="39">
        <f t="shared" si="578"/>
        <v>10</v>
      </c>
      <c r="AG191" s="35">
        <v>1.0</v>
      </c>
      <c r="AH191" s="35">
        <v>12.0</v>
      </c>
      <c r="AI191" s="35"/>
      <c r="AJ191" s="39">
        <f t="shared" si="579"/>
        <v>23</v>
      </c>
      <c r="AK191" s="35"/>
      <c r="AL191" s="35"/>
      <c r="AM191" s="35"/>
      <c r="AN191" s="39">
        <f t="shared" si="580"/>
        <v>23</v>
      </c>
      <c r="AO191" s="35"/>
      <c r="AP191" s="35"/>
      <c r="AQ191" s="35"/>
      <c r="AR191" s="39">
        <f t="shared" si="581"/>
        <v>23</v>
      </c>
      <c r="AS191" s="35"/>
      <c r="AT191" s="35"/>
      <c r="AU191" s="35"/>
      <c r="AV191" s="39">
        <f t="shared" si="582"/>
        <v>23</v>
      </c>
      <c r="AW191" s="35"/>
      <c r="AX191" s="35"/>
      <c r="AY191" s="35"/>
      <c r="AZ191" s="39">
        <f t="shared" si="583"/>
        <v>23</v>
      </c>
      <c r="BA191" s="35"/>
      <c r="BB191" s="35"/>
      <c r="BC191" s="35"/>
      <c r="BD191" s="39">
        <f t="shared" si="584"/>
        <v>23</v>
      </c>
      <c r="BE191" s="35"/>
      <c r="BF191" s="35"/>
      <c r="BG191" s="35"/>
      <c r="BH191" s="39">
        <f t="shared" si="585"/>
        <v>23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94" t="s">
        <v>169</v>
      </c>
      <c r="C192" s="21">
        <v>46.0</v>
      </c>
      <c r="D192" s="21">
        <v>1791.0</v>
      </c>
      <c r="E192" s="49">
        <v>21.0</v>
      </c>
      <c r="F192" s="21">
        <f t="shared" si="571"/>
        <v>22</v>
      </c>
      <c r="G192" s="22">
        <f t="shared" si="572"/>
        <v>0.9545454545</v>
      </c>
      <c r="H192" s="25">
        <v>7.0</v>
      </c>
      <c r="I192" s="25">
        <f t="shared" si="573"/>
        <v>8</v>
      </c>
      <c r="J192" s="55">
        <v>1.0</v>
      </c>
      <c r="K192" s="21">
        <v>2027.0</v>
      </c>
      <c r="L192" s="21">
        <v>2025.0</v>
      </c>
      <c r="M192" s="21"/>
      <c r="N192" s="21"/>
      <c r="O192" s="21"/>
      <c r="P192" s="25">
        <f t="shared" si="574"/>
        <v>7</v>
      </c>
      <c r="Q192" s="21"/>
      <c r="R192" s="21"/>
      <c r="S192" s="21"/>
      <c r="T192" s="25">
        <f t="shared" si="575"/>
        <v>7</v>
      </c>
      <c r="U192" s="21"/>
      <c r="V192" s="21"/>
      <c r="W192" s="21"/>
      <c r="X192" s="25">
        <f t="shared" si="576"/>
        <v>7</v>
      </c>
      <c r="Y192" s="21"/>
      <c r="Z192" s="21">
        <v>14.0</v>
      </c>
      <c r="AA192" s="21"/>
      <c r="AB192" s="25">
        <f t="shared" si="577"/>
        <v>21</v>
      </c>
      <c r="AC192" s="21"/>
      <c r="AD192" s="21"/>
      <c r="AE192" s="21"/>
      <c r="AF192" s="25">
        <f t="shared" si="578"/>
        <v>21</v>
      </c>
      <c r="AG192" s="21"/>
      <c r="AH192" s="21"/>
      <c r="AI192" s="21"/>
      <c r="AJ192" s="25">
        <f t="shared" si="579"/>
        <v>21</v>
      </c>
      <c r="AK192" s="21"/>
      <c r="AL192" s="21"/>
      <c r="AM192" s="21"/>
      <c r="AN192" s="25">
        <f t="shared" si="580"/>
        <v>21</v>
      </c>
      <c r="AO192" s="21"/>
      <c r="AP192" s="21"/>
      <c r="AQ192" s="21"/>
      <c r="AR192" s="25">
        <f t="shared" si="581"/>
        <v>21</v>
      </c>
      <c r="AS192" s="21"/>
      <c r="AT192" s="21"/>
      <c r="AU192" s="21"/>
      <c r="AV192" s="25">
        <f t="shared" si="582"/>
        <v>21</v>
      </c>
      <c r="AW192" s="21"/>
      <c r="AX192" s="21"/>
      <c r="AY192" s="21"/>
      <c r="AZ192" s="25">
        <f t="shared" si="583"/>
        <v>21</v>
      </c>
      <c r="BA192" s="21"/>
      <c r="BB192" s="21"/>
      <c r="BC192" s="21"/>
      <c r="BD192" s="25">
        <f t="shared" si="584"/>
        <v>21</v>
      </c>
      <c r="BE192" s="21"/>
      <c r="BF192" s="21"/>
      <c r="BG192" s="21"/>
      <c r="BH192" s="25">
        <f t="shared" si="585"/>
        <v>21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21"/>
      <c r="B193" s="21" t="s">
        <v>170</v>
      </c>
      <c r="C193" s="21">
        <v>51.0</v>
      </c>
      <c r="D193" s="21">
        <v>1296.0</v>
      </c>
      <c r="E193" s="21">
        <v>35.0</v>
      </c>
      <c r="F193" s="21">
        <f t="shared" si="571"/>
        <v>36</v>
      </c>
      <c r="G193" s="22">
        <f t="shared" si="572"/>
        <v>1.083333333</v>
      </c>
      <c r="H193" s="25">
        <v>31.0</v>
      </c>
      <c r="I193" s="25">
        <f t="shared" si="573"/>
        <v>33</v>
      </c>
      <c r="J193" s="55">
        <v>2.0</v>
      </c>
      <c r="K193" s="21">
        <v>2025.0</v>
      </c>
      <c r="L193" s="21">
        <v>2025.0</v>
      </c>
      <c r="M193" s="21"/>
      <c r="N193" s="21"/>
      <c r="O193" s="21"/>
      <c r="P193" s="25">
        <f t="shared" si="574"/>
        <v>31</v>
      </c>
      <c r="Q193" s="21"/>
      <c r="R193" s="21"/>
      <c r="S193" s="21"/>
      <c r="T193" s="25">
        <f t="shared" si="575"/>
        <v>31</v>
      </c>
      <c r="U193" s="21"/>
      <c r="V193" s="21"/>
      <c r="W193" s="21"/>
      <c r="X193" s="25">
        <f t="shared" si="576"/>
        <v>31</v>
      </c>
      <c r="Y193" s="21">
        <v>3.0</v>
      </c>
      <c r="Z193" s="21">
        <v>4.0</v>
      </c>
      <c r="AA193" s="21"/>
      <c r="AB193" s="25">
        <f t="shared" si="577"/>
        <v>38</v>
      </c>
      <c r="AC193" s="21"/>
      <c r="AD193" s="21"/>
      <c r="AE193" s="21"/>
      <c r="AF193" s="25">
        <f t="shared" si="578"/>
        <v>38</v>
      </c>
      <c r="AG193" s="21"/>
      <c r="AH193" s="21"/>
      <c r="AI193" s="21"/>
      <c r="AJ193" s="25">
        <f t="shared" si="579"/>
        <v>38</v>
      </c>
      <c r="AK193" s="21"/>
      <c r="AL193" s="21"/>
      <c r="AM193" s="21"/>
      <c r="AN193" s="25">
        <f t="shared" si="580"/>
        <v>38</v>
      </c>
      <c r="AO193" s="21"/>
      <c r="AP193" s="21"/>
      <c r="AQ193" s="21"/>
      <c r="AR193" s="25">
        <f t="shared" si="581"/>
        <v>38</v>
      </c>
      <c r="AS193" s="18">
        <v>1.0</v>
      </c>
      <c r="AT193" s="21"/>
      <c r="AU193" s="21"/>
      <c r="AV193" s="25">
        <f t="shared" si="582"/>
        <v>39</v>
      </c>
      <c r="AW193" s="21"/>
      <c r="AX193" s="21"/>
      <c r="AY193" s="21"/>
      <c r="AZ193" s="25">
        <f t="shared" si="583"/>
        <v>39</v>
      </c>
      <c r="BA193" s="21"/>
      <c r="BB193" s="21"/>
      <c r="BC193" s="21"/>
      <c r="BD193" s="25">
        <f t="shared" si="584"/>
        <v>39</v>
      </c>
      <c r="BE193" s="21"/>
      <c r="BF193" s="21"/>
      <c r="BG193" s="21"/>
      <c r="BH193" s="25">
        <f t="shared" si="585"/>
        <v>39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21"/>
      <c r="B194" s="114" t="s">
        <v>171</v>
      </c>
      <c r="C194" s="35">
        <v>60.0</v>
      </c>
      <c r="D194" s="35">
        <v>9625.0</v>
      </c>
      <c r="E194" s="35">
        <v>24.0</v>
      </c>
      <c r="F194" s="21">
        <f t="shared" si="571"/>
        <v>25</v>
      </c>
      <c r="G194" s="22">
        <f t="shared" si="572"/>
        <v>0.96</v>
      </c>
      <c r="H194" s="39">
        <v>19.0</v>
      </c>
      <c r="I194" s="39">
        <f t="shared" si="573"/>
        <v>19</v>
      </c>
      <c r="J194" s="39"/>
      <c r="K194" s="35">
        <v>0.0</v>
      </c>
      <c r="L194" s="21"/>
      <c r="M194" s="35"/>
      <c r="N194" s="35"/>
      <c r="O194" s="35"/>
      <c r="P194" s="39">
        <f t="shared" si="574"/>
        <v>19</v>
      </c>
      <c r="Q194" s="35"/>
      <c r="R194" s="35"/>
      <c r="S194" s="35"/>
      <c r="T194" s="39">
        <f t="shared" si="575"/>
        <v>19</v>
      </c>
      <c r="U194" s="35"/>
      <c r="V194" s="35"/>
      <c r="W194" s="35"/>
      <c r="X194" s="39">
        <f t="shared" si="576"/>
        <v>19</v>
      </c>
      <c r="Y194" s="35"/>
      <c r="Z194" s="35"/>
      <c r="AA194" s="35"/>
      <c r="AB194" s="39">
        <f t="shared" si="577"/>
        <v>19</v>
      </c>
      <c r="AC194" s="35"/>
      <c r="AD194" s="35"/>
      <c r="AE194" s="35"/>
      <c r="AF194" s="39">
        <f t="shared" si="578"/>
        <v>19</v>
      </c>
      <c r="AG194" s="35"/>
      <c r="AH194" s="35">
        <v>3.0</v>
      </c>
      <c r="AI194" s="35"/>
      <c r="AJ194" s="39">
        <f t="shared" si="579"/>
        <v>22</v>
      </c>
      <c r="AK194" s="35"/>
      <c r="AL194" s="35"/>
      <c r="AM194" s="35"/>
      <c r="AN194" s="39">
        <f t="shared" si="580"/>
        <v>22</v>
      </c>
      <c r="AO194" s="35"/>
      <c r="AP194" s="35"/>
      <c r="AQ194" s="35"/>
      <c r="AR194" s="39">
        <f t="shared" si="581"/>
        <v>22</v>
      </c>
      <c r="AS194" s="35"/>
      <c r="AT194" s="35"/>
      <c r="AU194" s="35"/>
      <c r="AV194" s="39">
        <f t="shared" si="582"/>
        <v>22</v>
      </c>
      <c r="AW194" s="35"/>
      <c r="AX194" s="35"/>
      <c r="AY194" s="35"/>
      <c r="AZ194" s="39">
        <f t="shared" si="583"/>
        <v>22</v>
      </c>
      <c r="BA194" s="35"/>
      <c r="BB194" s="35"/>
      <c r="BC194" s="35"/>
      <c r="BD194" s="39">
        <f t="shared" si="584"/>
        <v>22</v>
      </c>
      <c r="BE194" s="35"/>
      <c r="BF194" s="41">
        <v>2.0</v>
      </c>
      <c r="BG194" s="35"/>
      <c r="BH194" s="39">
        <f t="shared" si="585"/>
        <v>24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 t="s">
        <v>172</v>
      </c>
      <c r="C195" s="35">
        <v>62.0</v>
      </c>
      <c r="D195" s="35">
        <v>4847.0</v>
      </c>
      <c r="E195" s="35">
        <v>81.0</v>
      </c>
      <c r="F195" s="21">
        <f t="shared" si="571"/>
        <v>82</v>
      </c>
      <c r="G195" s="63">
        <f t="shared" si="572"/>
        <v>0.987804878</v>
      </c>
      <c r="H195" s="39">
        <v>33.0</v>
      </c>
      <c r="I195" s="39">
        <f t="shared" si="573"/>
        <v>35</v>
      </c>
      <c r="J195" s="39">
        <v>2.0</v>
      </c>
      <c r="K195" s="35">
        <v>2027.0</v>
      </c>
      <c r="L195" s="21">
        <v>2026.0</v>
      </c>
      <c r="M195" s="35"/>
      <c r="N195" s="35"/>
      <c r="O195" s="35"/>
      <c r="P195" s="39">
        <f t="shared" si="574"/>
        <v>33</v>
      </c>
      <c r="Q195" s="35"/>
      <c r="R195" s="35"/>
      <c r="S195" s="35"/>
      <c r="T195" s="39">
        <f t="shared" si="575"/>
        <v>33</v>
      </c>
      <c r="U195" s="35"/>
      <c r="V195" s="35"/>
      <c r="W195" s="35"/>
      <c r="X195" s="39">
        <f t="shared" si="576"/>
        <v>33</v>
      </c>
      <c r="Y195" s="35"/>
      <c r="Z195" s="35"/>
      <c r="AA195" s="35"/>
      <c r="AB195" s="39">
        <f t="shared" si="577"/>
        <v>33</v>
      </c>
      <c r="AC195" s="35"/>
      <c r="AD195" s="35"/>
      <c r="AE195" s="35"/>
      <c r="AF195" s="39">
        <f t="shared" si="578"/>
        <v>33</v>
      </c>
      <c r="AG195" s="35"/>
      <c r="AH195" s="35"/>
      <c r="AI195" s="35"/>
      <c r="AJ195" s="39">
        <f t="shared" si="579"/>
        <v>33</v>
      </c>
      <c r="AK195" s="35"/>
      <c r="AL195" s="35"/>
      <c r="AM195" s="35"/>
      <c r="AN195" s="39">
        <f t="shared" si="580"/>
        <v>33</v>
      </c>
      <c r="AO195" s="35"/>
      <c r="AP195" s="35"/>
      <c r="AQ195" s="35"/>
      <c r="AR195" s="39">
        <f t="shared" si="581"/>
        <v>33</v>
      </c>
      <c r="AS195" s="35"/>
      <c r="AT195" s="35"/>
      <c r="AU195" s="35"/>
      <c r="AV195" s="39">
        <f t="shared" si="582"/>
        <v>33</v>
      </c>
      <c r="AW195" s="35"/>
      <c r="AX195" s="35"/>
      <c r="AY195" s="35"/>
      <c r="AZ195" s="39">
        <f t="shared" si="583"/>
        <v>33</v>
      </c>
      <c r="BA195" s="35"/>
      <c r="BB195" s="35"/>
      <c r="BC195" s="35"/>
      <c r="BD195" s="39">
        <f t="shared" si="584"/>
        <v>33</v>
      </c>
      <c r="BE195" s="35"/>
      <c r="BF195" s="41">
        <v>48.0</v>
      </c>
      <c r="BG195" s="35"/>
      <c r="BH195" s="39">
        <f t="shared" si="585"/>
        <v>81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173</v>
      </c>
      <c r="C196" s="35">
        <v>66.0</v>
      </c>
      <c r="D196" s="35">
        <v>3915.0</v>
      </c>
      <c r="E196" s="35">
        <v>27.0</v>
      </c>
      <c r="F196" s="21">
        <f t="shared" si="571"/>
        <v>28</v>
      </c>
      <c r="G196" s="63">
        <f t="shared" si="572"/>
        <v>1</v>
      </c>
      <c r="H196" s="39">
        <v>10.0</v>
      </c>
      <c r="I196" s="39">
        <f t="shared" si="573"/>
        <v>10</v>
      </c>
      <c r="J196" s="39"/>
      <c r="K196" s="35">
        <v>2025.0</v>
      </c>
      <c r="L196" s="21">
        <v>2025.0</v>
      </c>
      <c r="M196" s="35"/>
      <c r="N196" s="35"/>
      <c r="O196" s="35"/>
      <c r="P196" s="39">
        <f t="shared" si="574"/>
        <v>10</v>
      </c>
      <c r="Q196" s="35"/>
      <c r="R196" s="35"/>
      <c r="S196" s="35"/>
      <c r="T196" s="39">
        <f t="shared" si="575"/>
        <v>10</v>
      </c>
      <c r="U196" s="35"/>
      <c r="V196" s="35"/>
      <c r="W196" s="35"/>
      <c r="X196" s="39">
        <f t="shared" si="576"/>
        <v>10</v>
      </c>
      <c r="Y196" s="35"/>
      <c r="Z196" s="35"/>
      <c r="AA196" s="35"/>
      <c r="AB196" s="39">
        <f t="shared" si="577"/>
        <v>10</v>
      </c>
      <c r="AC196" s="35"/>
      <c r="AD196" s="35"/>
      <c r="AE196" s="35"/>
      <c r="AF196" s="39">
        <f t="shared" si="578"/>
        <v>10</v>
      </c>
      <c r="AG196" s="35"/>
      <c r="AH196" s="35"/>
      <c r="AI196" s="35"/>
      <c r="AJ196" s="39">
        <f t="shared" si="579"/>
        <v>10</v>
      </c>
      <c r="AK196" s="35"/>
      <c r="AL196" s="41">
        <v>17.0</v>
      </c>
      <c r="AM196" s="35"/>
      <c r="AN196" s="39">
        <f t="shared" si="580"/>
        <v>27</v>
      </c>
      <c r="AO196" s="35"/>
      <c r="AP196" s="35"/>
      <c r="AQ196" s="35"/>
      <c r="AR196" s="39">
        <f t="shared" si="581"/>
        <v>27</v>
      </c>
      <c r="AS196" s="35"/>
      <c r="AT196" s="35"/>
      <c r="AU196" s="35"/>
      <c r="AV196" s="39">
        <f t="shared" si="582"/>
        <v>27</v>
      </c>
      <c r="AW196" s="35"/>
      <c r="AX196" s="35"/>
      <c r="AY196" s="35"/>
      <c r="AZ196" s="39">
        <f t="shared" si="583"/>
        <v>27</v>
      </c>
      <c r="BA196" s="41">
        <v>1.0</v>
      </c>
      <c r="BB196" s="35"/>
      <c r="BC196" s="35"/>
      <c r="BD196" s="39">
        <f t="shared" si="584"/>
        <v>28</v>
      </c>
      <c r="BE196" s="35"/>
      <c r="BF196" s="35"/>
      <c r="BG196" s="35"/>
      <c r="BH196" s="39">
        <f t="shared" si="585"/>
        <v>28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115" t="s">
        <v>174</v>
      </c>
      <c r="C197" s="35">
        <v>99.0</v>
      </c>
      <c r="D197" s="35">
        <v>2735.0</v>
      </c>
      <c r="E197" s="36">
        <v>20.0</v>
      </c>
      <c r="F197" s="21">
        <f t="shared" si="571"/>
        <v>21</v>
      </c>
      <c r="G197" s="63">
        <f t="shared" si="572"/>
        <v>0.9523809524</v>
      </c>
      <c r="H197" s="39">
        <v>15.0</v>
      </c>
      <c r="I197" s="39">
        <f t="shared" si="573"/>
        <v>15</v>
      </c>
      <c r="J197" s="39"/>
      <c r="K197" s="35">
        <v>0.0</v>
      </c>
      <c r="L197" s="21">
        <v>2025.0</v>
      </c>
      <c r="M197" s="35"/>
      <c r="N197" s="35"/>
      <c r="O197" s="35"/>
      <c r="P197" s="39">
        <f t="shared" si="574"/>
        <v>15</v>
      </c>
      <c r="Q197" s="35"/>
      <c r="R197" s="35"/>
      <c r="S197" s="35"/>
      <c r="T197" s="39">
        <f t="shared" si="575"/>
        <v>15</v>
      </c>
      <c r="U197" s="35"/>
      <c r="V197" s="35"/>
      <c r="W197" s="35"/>
      <c r="X197" s="39">
        <f t="shared" si="576"/>
        <v>15</v>
      </c>
      <c r="Y197" s="35"/>
      <c r="Z197" s="35"/>
      <c r="AA197" s="35"/>
      <c r="AB197" s="39">
        <f t="shared" si="577"/>
        <v>15</v>
      </c>
      <c r="AC197" s="35"/>
      <c r="AD197" s="35"/>
      <c r="AE197" s="35"/>
      <c r="AF197" s="39">
        <f t="shared" si="578"/>
        <v>15</v>
      </c>
      <c r="AG197" s="35"/>
      <c r="AH197" s="35">
        <v>5.0</v>
      </c>
      <c r="AI197" s="35"/>
      <c r="AJ197" s="39">
        <f t="shared" si="579"/>
        <v>20</v>
      </c>
      <c r="AK197" s="35"/>
      <c r="AL197" s="35"/>
      <c r="AM197" s="35"/>
      <c r="AN197" s="39">
        <f t="shared" si="580"/>
        <v>20</v>
      </c>
      <c r="AO197" s="35"/>
      <c r="AP197" s="35"/>
      <c r="AQ197" s="35"/>
      <c r="AR197" s="39">
        <f t="shared" si="581"/>
        <v>20</v>
      </c>
      <c r="AS197" s="35"/>
      <c r="AT197" s="35"/>
      <c r="AU197" s="35"/>
      <c r="AV197" s="39">
        <f t="shared" si="582"/>
        <v>20</v>
      </c>
      <c r="AW197" s="35"/>
      <c r="AX197" s="35"/>
      <c r="AY197" s="35"/>
      <c r="AZ197" s="39">
        <f t="shared" si="583"/>
        <v>20</v>
      </c>
      <c r="BA197" s="35"/>
      <c r="BB197" s="35"/>
      <c r="BC197" s="35"/>
      <c r="BD197" s="39">
        <f t="shared" si="584"/>
        <v>20</v>
      </c>
      <c r="BE197" s="35"/>
      <c r="BF197" s="35"/>
      <c r="BG197" s="35"/>
      <c r="BH197" s="39">
        <f t="shared" si="585"/>
        <v>20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9"/>
      <c r="K198" s="35"/>
      <c r="L198" s="35"/>
      <c r="M198" s="35">
        <f t="shared" ref="M198:O198" si="586">SUM(M186:M197)</f>
        <v>0</v>
      </c>
      <c r="N198" s="35">
        <f t="shared" si="586"/>
        <v>0</v>
      </c>
      <c r="O198" s="35">
        <f t="shared" si="586"/>
        <v>0</v>
      </c>
      <c r="P198" s="39">
        <f t="shared" ref="P198:BH198" si="587">SUM(P185:P197)</f>
        <v>185</v>
      </c>
      <c r="Q198" s="39">
        <f t="shared" si="587"/>
        <v>0</v>
      </c>
      <c r="R198" s="39">
        <f t="shared" si="587"/>
        <v>0</v>
      </c>
      <c r="S198" s="39">
        <f t="shared" si="587"/>
        <v>0</v>
      </c>
      <c r="T198" s="39">
        <f t="shared" si="587"/>
        <v>185</v>
      </c>
      <c r="U198" s="39">
        <f t="shared" si="587"/>
        <v>0</v>
      </c>
      <c r="V198" s="39">
        <f t="shared" si="587"/>
        <v>0</v>
      </c>
      <c r="W198" s="39">
        <f t="shared" si="587"/>
        <v>0</v>
      </c>
      <c r="X198" s="39">
        <f t="shared" si="587"/>
        <v>185</v>
      </c>
      <c r="Y198" s="39">
        <f t="shared" si="587"/>
        <v>6</v>
      </c>
      <c r="Z198" s="39">
        <f t="shared" si="587"/>
        <v>54</v>
      </c>
      <c r="AA198" s="39">
        <f t="shared" si="587"/>
        <v>0</v>
      </c>
      <c r="AB198" s="39">
        <f t="shared" si="587"/>
        <v>245</v>
      </c>
      <c r="AC198" s="39">
        <f t="shared" si="587"/>
        <v>0</v>
      </c>
      <c r="AD198" s="39">
        <f t="shared" si="587"/>
        <v>0</v>
      </c>
      <c r="AE198" s="39">
        <f t="shared" si="587"/>
        <v>0</v>
      </c>
      <c r="AF198" s="39">
        <f t="shared" si="587"/>
        <v>245</v>
      </c>
      <c r="AG198" s="39">
        <f t="shared" si="587"/>
        <v>1</v>
      </c>
      <c r="AH198" s="39">
        <f t="shared" si="587"/>
        <v>20</v>
      </c>
      <c r="AI198" s="39">
        <f t="shared" si="587"/>
        <v>0</v>
      </c>
      <c r="AJ198" s="39">
        <f t="shared" si="587"/>
        <v>266</v>
      </c>
      <c r="AK198" s="39">
        <f t="shared" si="587"/>
        <v>0</v>
      </c>
      <c r="AL198" s="39">
        <f t="shared" si="587"/>
        <v>17</v>
      </c>
      <c r="AM198" s="39">
        <f t="shared" si="587"/>
        <v>0</v>
      </c>
      <c r="AN198" s="39">
        <f t="shared" si="587"/>
        <v>283</v>
      </c>
      <c r="AO198" s="39">
        <f t="shared" si="587"/>
        <v>0</v>
      </c>
      <c r="AP198" s="39">
        <f t="shared" si="587"/>
        <v>0</v>
      </c>
      <c r="AQ198" s="39">
        <f t="shared" si="587"/>
        <v>0</v>
      </c>
      <c r="AR198" s="39">
        <f t="shared" si="587"/>
        <v>283</v>
      </c>
      <c r="AS198" s="39">
        <f t="shared" si="587"/>
        <v>1</v>
      </c>
      <c r="AT198" s="39">
        <f t="shared" si="587"/>
        <v>0</v>
      </c>
      <c r="AU198" s="39">
        <f t="shared" si="587"/>
        <v>0</v>
      </c>
      <c r="AV198" s="39">
        <f t="shared" si="587"/>
        <v>284</v>
      </c>
      <c r="AW198" s="39">
        <f t="shared" si="587"/>
        <v>0</v>
      </c>
      <c r="AX198" s="39">
        <f t="shared" si="587"/>
        <v>0</v>
      </c>
      <c r="AY198" s="39">
        <f t="shared" si="587"/>
        <v>0</v>
      </c>
      <c r="AZ198" s="39">
        <f t="shared" si="587"/>
        <v>284</v>
      </c>
      <c r="BA198" s="39">
        <f t="shared" si="587"/>
        <v>2</v>
      </c>
      <c r="BB198" s="39">
        <f t="shared" si="587"/>
        <v>0</v>
      </c>
      <c r="BC198" s="39">
        <f t="shared" si="587"/>
        <v>0</v>
      </c>
      <c r="BD198" s="39">
        <f t="shared" si="587"/>
        <v>286</v>
      </c>
      <c r="BE198" s="39">
        <f t="shared" si="587"/>
        <v>0</v>
      </c>
      <c r="BF198" s="39">
        <f t="shared" si="587"/>
        <v>50</v>
      </c>
      <c r="BG198" s="39">
        <f t="shared" si="587"/>
        <v>0</v>
      </c>
      <c r="BH198" s="39">
        <f t="shared" si="587"/>
        <v>336</v>
      </c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35</v>
      </c>
      <c r="C199" s="35">
        <f>COUNT(C185:C197)</f>
        <v>12</v>
      </c>
      <c r="D199" s="35"/>
      <c r="E199" s="35">
        <f>SUM(E185:E197)</f>
        <v>325</v>
      </c>
      <c r="F199" s="35">
        <f>SUM(E185:E197)+1</f>
        <v>326</v>
      </c>
      <c r="G199" s="63">
        <f>$BH198/F199</f>
        <v>1.030674847</v>
      </c>
      <c r="H199" s="39">
        <f t="shared" ref="H199:J199" si="588">SUM(H185:H197)</f>
        <v>185</v>
      </c>
      <c r="I199" s="39">
        <f t="shared" si="588"/>
        <v>194</v>
      </c>
      <c r="J199" s="39">
        <f t="shared" si="588"/>
        <v>9</v>
      </c>
      <c r="K199" s="35"/>
      <c r="L199" s="35"/>
      <c r="M199" s="35"/>
      <c r="N199" s="35"/>
      <c r="O199" s="35"/>
      <c r="P199" s="63">
        <f>P198/F199</f>
        <v>0.5674846626</v>
      </c>
      <c r="Q199" s="39">
        <f t="shared" ref="Q199:S199" si="589">M198+Q198</f>
        <v>0</v>
      </c>
      <c r="R199" s="39">
        <f t="shared" si="589"/>
        <v>0</v>
      </c>
      <c r="S199" s="39">
        <f t="shared" si="589"/>
        <v>0</v>
      </c>
      <c r="T199" s="63">
        <f>T198/F199</f>
        <v>0.5674846626</v>
      </c>
      <c r="U199" s="39">
        <f t="shared" ref="U199:W199" si="590">Q199+U198</f>
        <v>0</v>
      </c>
      <c r="V199" s="39">
        <f t="shared" si="590"/>
        <v>0</v>
      </c>
      <c r="W199" s="39">
        <f t="shared" si="590"/>
        <v>0</v>
      </c>
      <c r="X199" s="63">
        <f>X198/F199</f>
        <v>0.5674846626</v>
      </c>
      <c r="Y199" s="39">
        <f t="shared" ref="Y199:AA199" si="591">U199+Y198</f>
        <v>6</v>
      </c>
      <c r="Z199" s="39">
        <f t="shared" si="591"/>
        <v>54</v>
      </c>
      <c r="AA199" s="39">
        <f t="shared" si="591"/>
        <v>0</v>
      </c>
      <c r="AB199" s="63">
        <f>AB198/F199</f>
        <v>0.7515337423</v>
      </c>
      <c r="AC199" s="39">
        <f t="shared" ref="AC199:AE199" si="592">Y199+AC198</f>
        <v>6</v>
      </c>
      <c r="AD199" s="39">
        <f t="shared" si="592"/>
        <v>54</v>
      </c>
      <c r="AE199" s="39">
        <f t="shared" si="592"/>
        <v>0</v>
      </c>
      <c r="AF199" s="63">
        <f>AF198/F199</f>
        <v>0.7515337423</v>
      </c>
      <c r="AG199" s="39">
        <f t="shared" ref="AG199:AI199" si="593">AC199+AG198</f>
        <v>7</v>
      </c>
      <c r="AH199" s="39">
        <f t="shared" si="593"/>
        <v>74</v>
      </c>
      <c r="AI199" s="39">
        <f t="shared" si="593"/>
        <v>0</v>
      </c>
      <c r="AJ199" s="63">
        <f>AJ198/F199</f>
        <v>0.8159509202</v>
      </c>
      <c r="AK199" s="39">
        <f t="shared" ref="AK199:AM199" si="594">AG199+AK198</f>
        <v>7</v>
      </c>
      <c r="AL199" s="39">
        <f t="shared" si="594"/>
        <v>91</v>
      </c>
      <c r="AM199" s="39">
        <f t="shared" si="594"/>
        <v>0</v>
      </c>
      <c r="AN199" s="63">
        <f>AN198/F199</f>
        <v>0.8680981595</v>
      </c>
      <c r="AO199" s="39">
        <f t="shared" ref="AO199:AQ199" si="595">AK199+AO198</f>
        <v>7</v>
      </c>
      <c r="AP199" s="39">
        <f t="shared" si="595"/>
        <v>91</v>
      </c>
      <c r="AQ199" s="39">
        <f t="shared" si="595"/>
        <v>0</v>
      </c>
      <c r="AR199" s="63">
        <f>AR198/F199</f>
        <v>0.8680981595</v>
      </c>
      <c r="AS199" s="39">
        <f t="shared" ref="AS199:AU199" si="596">AO199+AS198</f>
        <v>8</v>
      </c>
      <c r="AT199" s="39">
        <f t="shared" si="596"/>
        <v>91</v>
      </c>
      <c r="AU199" s="39">
        <f t="shared" si="596"/>
        <v>0</v>
      </c>
      <c r="AV199" s="63">
        <f>AV198/F199</f>
        <v>0.8711656442</v>
      </c>
      <c r="AW199" s="39">
        <f t="shared" ref="AW199:AY199" si="597">AS199+AW198</f>
        <v>8</v>
      </c>
      <c r="AX199" s="39">
        <f t="shared" si="597"/>
        <v>91</v>
      </c>
      <c r="AY199" s="39">
        <f t="shared" si="597"/>
        <v>0</v>
      </c>
      <c r="AZ199" s="63">
        <f>AZ198/F199</f>
        <v>0.8711656442</v>
      </c>
      <c r="BA199" s="39">
        <f t="shared" ref="BA199:BC199" si="598">AW199+BA198</f>
        <v>10</v>
      </c>
      <c r="BB199" s="39">
        <f t="shared" si="598"/>
        <v>91</v>
      </c>
      <c r="BC199" s="39">
        <f t="shared" si="598"/>
        <v>0</v>
      </c>
      <c r="BD199" s="63">
        <f>BD198/F199</f>
        <v>0.8773006135</v>
      </c>
      <c r="BE199" s="39">
        <f t="shared" ref="BE199:BG199" si="599">BA199+BE198</f>
        <v>10</v>
      </c>
      <c r="BF199" s="39">
        <f t="shared" si="599"/>
        <v>141</v>
      </c>
      <c r="BG199" s="39">
        <f t="shared" si="599"/>
        <v>0</v>
      </c>
      <c r="BH199" s="63">
        <f>BH198/F199</f>
        <v>1.030674847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50"/>
      <c r="B200" s="50"/>
      <c r="C200" s="50"/>
      <c r="D200" s="50"/>
      <c r="E200" s="50"/>
      <c r="F200" s="50"/>
      <c r="G200" s="50"/>
      <c r="H200" s="65"/>
      <c r="I200" s="65"/>
      <c r="J200" s="65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66" t="s">
        <v>175</v>
      </c>
      <c r="B201" s="35"/>
      <c r="C201" s="35"/>
      <c r="D201" s="35"/>
      <c r="E201" s="35"/>
      <c r="F201" s="35"/>
      <c r="G201" s="63"/>
      <c r="H201" s="39"/>
      <c r="I201" s="39"/>
      <c r="J201" s="39"/>
      <c r="K201" s="35">
        <v>2027.0</v>
      </c>
      <c r="L201" s="35">
        <v>2025.0</v>
      </c>
      <c r="M201" s="35"/>
      <c r="N201" s="35"/>
      <c r="O201" s="35"/>
      <c r="P201" s="39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35" t="s">
        <v>176</v>
      </c>
      <c r="C202" s="35">
        <v>1.0</v>
      </c>
      <c r="D202" s="35"/>
      <c r="E202" s="35">
        <v>14.0</v>
      </c>
      <c r="F202" s="21">
        <f t="shared" ref="F202:F207" si="600">E202+1</f>
        <v>15</v>
      </c>
      <c r="G202" s="63">
        <f t="shared" ref="G202:G207" si="601">$BH202/F202</f>
        <v>1.2</v>
      </c>
      <c r="H202" s="39">
        <v>7.0</v>
      </c>
      <c r="I202" s="39">
        <f t="shared" ref="I202:I207" si="602">+H202+J202</f>
        <v>8</v>
      </c>
      <c r="J202" s="73">
        <v>1.0</v>
      </c>
      <c r="K202" s="35">
        <v>2027.0</v>
      </c>
      <c r="L202" s="35">
        <v>2025.0</v>
      </c>
      <c r="M202" s="35"/>
      <c r="N202" s="35">
        <v>4.0</v>
      </c>
      <c r="O202" s="35">
        <v>1.0</v>
      </c>
      <c r="P202" s="39">
        <f t="shared" ref="P202:P207" si="603">SUM(M202:O202)+H202</f>
        <v>12</v>
      </c>
      <c r="Q202" s="35"/>
      <c r="R202" s="35"/>
      <c r="S202" s="35"/>
      <c r="T202" s="39">
        <f t="shared" ref="T202:T207" si="604">SUM(P202:S202)</f>
        <v>12</v>
      </c>
      <c r="U202" s="35"/>
      <c r="V202" s="35"/>
      <c r="W202" s="35"/>
      <c r="X202" s="39">
        <f t="shared" ref="X202:X207" si="605">SUM(T202:W202)</f>
        <v>12</v>
      </c>
      <c r="Y202" s="35"/>
      <c r="Z202" s="35"/>
      <c r="AA202" s="35"/>
      <c r="AB202" s="39">
        <f t="shared" ref="AB202:AB207" si="606">SUM(X202:AA202)</f>
        <v>12</v>
      </c>
      <c r="AC202" s="35"/>
      <c r="AD202" s="35"/>
      <c r="AE202" s="35"/>
      <c r="AF202" s="39">
        <f t="shared" ref="AF202:AF207" si="607">SUM(AB202:AE202)</f>
        <v>12</v>
      </c>
      <c r="AG202" s="35"/>
      <c r="AH202" s="35"/>
      <c r="AI202" s="35"/>
      <c r="AJ202" s="39">
        <f t="shared" ref="AJ202:AJ207" si="608">SUM(AF202:AI202)</f>
        <v>12</v>
      </c>
      <c r="AK202" s="35"/>
      <c r="AL202" s="35"/>
      <c r="AM202" s="35"/>
      <c r="AN202" s="39">
        <f t="shared" ref="AN202:AN207" si="609">SUM(AJ202:AM202)</f>
        <v>12</v>
      </c>
      <c r="AO202" s="35"/>
      <c r="AP202" s="35"/>
      <c r="AQ202" s="35"/>
      <c r="AR202" s="39">
        <f t="shared" ref="AR202:AR207" si="610">SUM(AN202:AQ202)</f>
        <v>12</v>
      </c>
      <c r="AS202" s="35"/>
      <c r="AT202" s="35"/>
      <c r="AU202" s="35"/>
      <c r="AV202" s="39">
        <f t="shared" ref="AV202:AV207" si="611">SUM(AR202:AU202)</f>
        <v>12</v>
      </c>
      <c r="AW202" s="35"/>
      <c r="AX202" s="35"/>
      <c r="AY202" s="35"/>
      <c r="AZ202" s="39">
        <f t="shared" ref="AZ202:AZ207" si="612">SUM(AV202:AY202)</f>
        <v>12</v>
      </c>
      <c r="BA202" s="41">
        <v>4.0</v>
      </c>
      <c r="BB202" s="41">
        <v>2.0</v>
      </c>
      <c r="BC202" s="35"/>
      <c r="BD202" s="39">
        <f t="shared" ref="BD202:BD207" si="613">SUM(AZ202:BC202)</f>
        <v>18</v>
      </c>
      <c r="BE202" s="35"/>
      <c r="BF202" s="35"/>
      <c r="BG202" s="35"/>
      <c r="BH202" s="39">
        <f t="shared" ref="BH202:BH207" si="614">SUM(BD202:BG202)</f>
        <v>18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4" t="s">
        <v>177</v>
      </c>
      <c r="C203" s="21">
        <v>6.0</v>
      </c>
      <c r="D203" s="21">
        <v>10567.0</v>
      </c>
      <c r="E203" s="21">
        <v>12.0</v>
      </c>
      <c r="F203" s="21">
        <f t="shared" si="600"/>
        <v>13</v>
      </c>
      <c r="G203" s="22">
        <f t="shared" si="601"/>
        <v>0.9230769231</v>
      </c>
      <c r="H203" s="25">
        <v>12.0</v>
      </c>
      <c r="I203" s="25">
        <f t="shared" si="602"/>
        <v>12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3"/>
        <v>12</v>
      </c>
      <c r="Q203" s="21"/>
      <c r="R203" s="21"/>
      <c r="S203" s="21"/>
      <c r="T203" s="25">
        <f t="shared" si="604"/>
        <v>12</v>
      </c>
      <c r="U203" s="21"/>
      <c r="V203" s="21"/>
      <c r="W203" s="21"/>
      <c r="X203" s="25">
        <f t="shared" si="605"/>
        <v>12</v>
      </c>
      <c r="Y203" s="21"/>
      <c r="Z203" s="21"/>
      <c r="AA203" s="21"/>
      <c r="AB203" s="25">
        <f t="shared" si="606"/>
        <v>12</v>
      </c>
      <c r="AC203" s="21"/>
      <c r="AD203" s="21"/>
      <c r="AE203" s="21"/>
      <c r="AF203" s="25">
        <f t="shared" si="607"/>
        <v>12</v>
      </c>
      <c r="AG203" s="21"/>
      <c r="AH203" s="21"/>
      <c r="AI203" s="21"/>
      <c r="AJ203" s="25">
        <f t="shared" si="608"/>
        <v>12</v>
      </c>
      <c r="AK203" s="21"/>
      <c r="AL203" s="21"/>
      <c r="AM203" s="21"/>
      <c r="AN203" s="25">
        <f t="shared" si="609"/>
        <v>12</v>
      </c>
      <c r="AO203" s="21"/>
      <c r="AP203" s="21"/>
      <c r="AQ203" s="21"/>
      <c r="AR203" s="25">
        <f t="shared" si="610"/>
        <v>12</v>
      </c>
      <c r="AS203" s="21"/>
      <c r="AT203" s="21"/>
      <c r="AU203" s="21"/>
      <c r="AV203" s="25">
        <f t="shared" si="611"/>
        <v>12</v>
      </c>
      <c r="AW203" s="21"/>
      <c r="AX203" s="30"/>
      <c r="AY203" s="21"/>
      <c r="AZ203" s="25">
        <f t="shared" si="612"/>
        <v>12</v>
      </c>
      <c r="BA203" s="21"/>
      <c r="BB203" s="21"/>
      <c r="BC203" s="21"/>
      <c r="BD203" s="25">
        <f t="shared" si="613"/>
        <v>12</v>
      </c>
      <c r="BE203" s="21"/>
      <c r="BF203" s="21"/>
      <c r="BG203" s="21"/>
      <c r="BH203" s="25">
        <f t="shared" si="614"/>
        <v>12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94" t="s">
        <v>178</v>
      </c>
      <c r="C204" s="21">
        <v>7.0</v>
      </c>
      <c r="D204" s="21">
        <v>3036.0</v>
      </c>
      <c r="E204" s="21">
        <v>53.0</v>
      </c>
      <c r="F204" s="21">
        <f t="shared" si="600"/>
        <v>54</v>
      </c>
      <c r="G204" s="22">
        <f t="shared" si="601"/>
        <v>1.296296296</v>
      </c>
      <c r="H204" s="25">
        <v>39.0</v>
      </c>
      <c r="I204" s="25">
        <f t="shared" si="602"/>
        <v>40</v>
      </c>
      <c r="J204" s="25">
        <v>1.0</v>
      </c>
      <c r="K204" s="35">
        <v>2027.0</v>
      </c>
      <c r="L204" s="21">
        <v>2025.0</v>
      </c>
      <c r="M204" s="21"/>
      <c r="N204" s="18">
        <v>13.0</v>
      </c>
      <c r="O204" s="21"/>
      <c r="P204" s="25">
        <f t="shared" si="603"/>
        <v>52</v>
      </c>
      <c r="Q204" s="21"/>
      <c r="R204" s="21"/>
      <c r="S204" s="21"/>
      <c r="T204" s="25">
        <f t="shared" si="604"/>
        <v>52</v>
      </c>
      <c r="U204" s="21"/>
      <c r="V204" s="21"/>
      <c r="W204" s="21"/>
      <c r="X204" s="25">
        <f t="shared" si="605"/>
        <v>52</v>
      </c>
      <c r="Y204" s="21"/>
      <c r="Z204" s="21"/>
      <c r="AA204" s="21"/>
      <c r="AB204" s="25">
        <f t="shared" si="606"/>
        <v>52</v>
      </c>
      <c r="AC204" s="21"/>
      <c r="AD204" s="21"/>
      <c r="AE204" s="21"/>
      <c r="AF204" s="25">
        <f t="shared" si="607"/>
        <v>52</v>
      </c>
      <c r="AG204" s="21">
        <v>1.0</v>
      </c>
      <c r="AH204" s="21"/>
      <c r="AI204" s="21"/>
      <c r="AJ204" s="25">
        <f t="shared" si="608"/>
        <v>53</v>
      </c>
      <c r="AK204" s="21"/>
      <c r="AL204" s="21"/>
      <c r="AM204" s="21"/>
      <c r="AN204" s="25">
        <f t="shared" si="609"/>
        <v>53</v>
      </c>
      <c r="AO204" s="21"/>
      <c r="AP204" s="21"/>
      <c r="AQ204" s="21"/>
      <c r="AR204" s="25">
        <f t="shared" si="610"/>
        <v>53</v>
      </c>
      <c r="AS204" s="18">
        <v>2.0</v>
      </c>
      <c r="AT204" s="21"/>
      <c r="AU204" s="21"/>
      <c r="AV204" s="25">
        <f t="shared" si="611"/>
        <v>55</v>
      </c>
      <c r="AW204" s="21"/>
      <c r="AX204" s="21"/>
      <c r="AY204" s="21"/>
      <c r="AZ204" s="25">
        <f t="shared" si="612"/>
        <v>55</v>
      </c>
      <c r="BA204" s="21"/>
      <c r="BB204" s="21"/>
      <c r="BC204" s="21"/>
      <c r="BD204" s="25">
        <f t="shared" si="613"/>
        <v>55</v>
      </c>
      <c r="BE204" s="21"/>
      <c r="BF204" s="18">
        <v>15.0</v>
      </c>
      <c r="BG204" s="21"/>
      <c r="BH204" s="25">
        <f t="shared" si="614"/>
        <v>70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94" t="s">
        <v>179</v>
      </c>
      <c r="C205" s="21">
        <v>12.0</v>
      </c>
      <c r="D205" s="21">
        <v>4272.0</v>
      </c>
      <c r="E205" s="21">
        <v>28.0</v>
      </c>
      <c r="F205" s="21">
        <f t="shared" si="600"/>
        <v>29</v>
      </c>
      <c r="G205" s="22">
        <f t="shared" si="601"/>
        <v>0.9310344828</v>
      </c>
      <c r="H205" s="25">
        <v>13.0</v>
      </c>
      <c r="I205" s="25">
        <f t="shared" si="602"/>
        <v>13</v>
      </c>
      <c r="J205" s="25"/>
      <c r="K205" s="35">
        <v>2027.0</v>
      </c>
      <c r="L205" s="21">
        <v>2025.0</v>
      </c>
      <c r="M205" s="21"/>
      <c r="N205" s="21"/>
      <c r="O205" s="21"/>
      <c r="P205" s="25">
        <f t="shared" si="603"/>
        <v>13</v>
      </c>
      <c r="Q205" s="21"/>
      <c r="R205" s="21"/>
      <c r="S205" s="21"/>
      <c r="T205" s="25">
        <f t="shared" si="604"/>
        <v>13</v>
      </c>
      <c r="U205" s="21"/>
      <c r="V205" s="21"/>
      <c r="W205" s="21"/>
      <c r="X205" s="25">
        <f t="shared" si="605"/>
        <v>13</v>
      </c>
      <c r="Y205" s="21"/>
      <c r="Z205" s="21"/>
      <c r="AA205" s="21"/>
      <c r="AB205" s="25">
        <f t="shared" si="606"/>
        <v>13</v>
      </c>
      <c r="AC205" s="21"/>
      <c r="AD205" s="21"/>
      <c r="AE205" s="21"/>
      <c r="AF205" s="25">
        <f t="shared" si="607"/>
        <v>13</v>
      </c>
      <c r="AG205" s="21"/>
      <c r="AH205" s="21"/>
      <c r="AI205" s="21"/>
      <c r="AJ205" s="25">
        <f t="shared" si="608"/>
        <v>13</v>
      </c>
      <c r="AK205" s="21"/>
      <c r="AL205" s="21"/>
      <c r="AM205" s="21"/>
      <c r="AN205" s="25">
        <f t="shared" si="609"/>
        <v>13</v>
      </c>
      <c r="AO205" s="21"/>
      <c r="AP205" s="21"/>
      <c r="AQ205" s="21"/>
      <c r="AR205" s="25">
        <f t="shared" si="610"/>
        <v>13</v>
      </c>
      <c r="AS205" s="21"/>
      <c r="AT205" s="21"/>
      <c r="AU205" s="21"/>
      <c r="AV205" s="25">
        <f t="shared" si="611"/>
        <v>13</v>
      </c>
      <c r="AW205" s="21"/>
      <c r="AX205" s="21"/>
      <c r="AY205" s="21"/>
      <c r="AZ205" s="25">
        <f t="shared" si="612"/>
        <v>13</v>
      </c>
      <c r="BA205" s="21"/>
      <c r="BB205" s="18">
        <v>14.0</v>
      </c>
      <c r="BC205" s="21"/>
      <c r="BD205" s="25">
        <f t="shared" si="613"/>
        <v>27</v>
      </c>
      <c r="BE205" s="21"/>
      <c r="BF205" s="21"/>
      <c r="BG205" s="21"/>
      <c r="BH205" s="25">
        <f t="shared" si="614"/>
        <v>27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110" t="s">
        <v>180</v>
      </c>
      <c r="C206" s="35">
        <v>15.0</v>
      </c>
      <c r="D206" s="35"/>
      <c r="E206" s="35">
        <v>38.0</v>
      </c>
      <c r="F206" s="21">
        <f t="shared" si="600"/>
        <v>39</v>
      </c>
      <c r="G206" s="63">
        <f t="shared" si="601"/>
        <v>0.8717948718</v>
      </c>
      <c r="H206" s="39">
        <v>28.0</v>
      </c>
      <c r="I206" s="39">
        <f t="shared" si="602"/>
        <v>29</v>
      </c>
      <c r="J206" s="39">
        <v>1.0</v>
      </c>
      <c r="K206" s="35">
        <v>2027.0</v>
      </c>
      <c r="L206" s="35">
        <v>2025.0</v>
      </c>
      <c r="M206" s="35"/>
      <c r="N206" s="35">
        <v>5.0</v>
      </c>
      <c r="O206" s="35"/>
      <c r="P206" s="39">
        <f t="shared" si="603"/>
        <v>33</v>
      </c>
      <c r="Q206" s="35"/>
      <c r="R206" s="35"/>
      <c r="S206" s="35"/>
      <c r="T206" s="39">
        <f t="shared" si="604"/>
        <v>33</v>
      </c>
      <c r="U206" s="35"/>
      <c r="V206" s="35"/>
      <c r="W206" s="35"/>
      <c r="X206" s="39">
        <f t="shared" si="605"/>
        <v>33</v>
      </c>
      <c r="Y206" s="35"/>
      <c r="Z206" s="35"/>
      <c r="AA206" s="35"/>
      <c r="AB206" s="39">
        <f t="shared" si="606"/>
        <v>33</v>
      </c>
      <c r="AC206" s="35"/>
      <c r="AD206" s="35"/>
      <c r="AE206" s="35"/>
      <c r="AF206" s="39">
        <f t="shared" si="607"/>
        <v>33</v>
      </c>
      <c r="AG206" s="35"/>
      <c r="AH206" s="35"/>
      <c r="AI206" s="35"/>
      <c r="AJ206" s="39">
        <f t="shared" si="608"/>
        <v>33</v>
      </c>
      <c r="AK206" s="35"/>
      <c r="AL206" s="35"/>
      <c r="AM206" s="35"/>
      <c r="AN206" s="39">
        <f t="shared" si="609"/>
        <v>33</v>
      </c>
      <c r="AO206" s="35"/>
      <c r="AP206" s="35"/>
      <c r="AQ206" s="35"/>
      <c r="AR206" s="39">
        <f t="shared" si="610"/>
        <v>33</v>
      </c>
      <c r="AS206" s="35"/>
      <c r="AT206" s="35"/>
      <c r="AU206" s="35"/>
      <c r="AV206" s="39">
        <f t="shared" si="611"/>
        <v>33</v>
      </c>
      <c r="AW206" s="35"/>
      <c r="AX206" s="35"/>
      <c r="AY206" s="35"/>
      <c r="AZ206" s="39">
        <f t="shared" si="612"/>
        <v>33</v>
      </c>
      <c r="BA206" s="35"/>
      <c r="BB206" s="41">
        <v>1.0</v>
      </c>
      <c r="BC206" s="35"/>
      <c r="BD206" s="39">
        <f t="shared" si="613"/>
        <v>34</v>
      </c>
      <c r="BE206" s="35"/>
      <c r="BF206" s="35"/>
      <c r="BG206" s="35"/>
      <c r="BH206" s="39">
        <f t="shared" si="614"/>
        <v>34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116" t="s">
        <v>181</v>
      </c>
      <c r="C207" s="36">
        <v>17.0</v>
      </c>
      <c r="D207" s="36">
        <v>5397.0</v>
      </c>
      <c r="E207" s="36">
        <v>19.0</v>
      </c>
      <c r="F207" s="21">
        <f t="shared" si="600"/>
        <v>20</v>
      </c>
      <c r="G207" s="63">
        <f t="shared" si="601"/>
        <v>0.95</v>
      </c>
      <c r="H207" s="39">
        <v>16.0</v>
      </c>
      <c r="I207" s="39">
        <f t="shared" si="602"/>
        <v>16</v>
      </c>
      <c r="J207" s="39"/>
      <c r="K207" s="35">
        <v>2027.0</v>
      </c>
      <c r="L207" s="35">
        <v>2025.0</v>
      </c>
      <c r="M207" s="35"/>
      <c r="N207" s="35"/>
      <c r="O207" s="35"/>
      <c r="P207" s="39">
        <f t="shared" si="603"/>
        <v>16</v>
      </c>
      <c r="Q207" s="35"/>
      <c r="R207" s="35"/>
      <c r="S207" s="35"/>
      <c r="T207" s="39">
        <f t="shared" si="604"/>
        <v>16</v>
      </c>
      <c r="U207" s="35"/>
      <c r="V207" s="35">
        <v>3.0</v>
      </c>
      <c r="W207" s="35"/>
      <c r="X207" s="39">
        <f t="shared" si="605"/>
        <v>19</v>
      </c>
      <c r="Y207" s="35"/>
      <c r="Z207" s="35"/>
      <c r="AA207" s="35"/>
      <c r="AB207" s="39">
        <f t="shared" si="606"/>
        <v>19</v>
      </c>
      <c r="AC207" s="35"/>
      <c r="AD207" s="35"/>
      <c r="AE207" s="35"/>
      <c r="AF207" s="39">
        <f t="shared" si="607"/>
        <v>19</v>
      </c>
      <c r="AG207" s="35"/>
      <c r="AH207" s="35"/>
      <c r="AI207" s="35"/>
      <c r="AJ207" s="39">
        <f t="shared" si="608"/>
        <v>19</v>
      </c>
      <c r="AK207" s="35"/>
      <c r="AL207" s="35"/>
      <c r="AM207" s="35"/>
      <c r="AN207" s="39">
        <f t="shared" si="609"/>
        <v>19</v>
      </c>
      <c r="AO207" s="35"/>
      <c r="AP207" s="35"/>
      <c r="AQ207" s="35"/>
      <c r="AR207" s="39">
        <f t="shared" si="610"/>
        <v>19</v>
      </c>
      <c r="AS207" s="35"/>
      <c r="AT207" s="35"/>
      <c r="AU207" s="35"/>
      <c r="AV207" s="39">
        <f t="shared" si="611"/>
        <v>19</v>
      </c>
      <c r="AW207" s="35"/>
      <c r="AX207" s="35"/>
      <c r="AY207" s="35"/>
      <c r="AZ207" s="39">
        <f t="shared" si="612"/>
        <v>19</v>
      </c>
      <c r="BA207" s="35"/>
      <c r="BB207" s="35"/>
      <c r="BC207" s="35"/>
      <c r="BD207" s="39">
        <f t="shared" si="613"/>
        <v>19</v>
      </c>
      <c r="BE207" s="35"/>
      <c r="BF207" s="35"/>
      <c r="BG207" s="35"/>
      <c r="BH207" s="39">
        <f t="shared" si="614"/>
        <v>19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35"/>
      <c r="B208" s="40"/>
      <c r="C208" s="40"/>
      <c r="D208" s="40"/>
      <c r="E208" s="40"/>
      <c r="F208" s="40"/>
      <c r="G208" s="40"/>
      <c r="H208" s="38"/>
      <c r="I208" s="38"/>
      <c r="J208" s="38"/>
      <c r="K208" s="40"/>
      <c r="L208" s="40"/>
      <c r="M208" s="40">
        <f t="shared" ref="M208:O208" si="615">SUM(M203:M207)</f>
        <v>0</v>
      </c>
      <c r="N208" s="40">
        <f t="shared" si="615"/>
        <v>18</v>
      </c>
      <c r="O208" s="40">
        <f t="shared" si="615"/>
        <v>0</v>
      </c>
      <c r="P208" s="38">
        <f t="shared" ref="P208:BH208" si="616">SUM(P201:P207)</f>
        <v>138</v>
      </c>
      <c r="Q208" s="38">
        <f t="shared" si="616"/>
        <v>0</v>
      </c>
      <c r="R208" s="38">
        <f t="shared" si="616"/>
        <v>0</v>
      </c>
      <c r="S208" s="38">
        <f t="shared" si="616"/>
        <v>0</v>
      </c>
      <c r="T208" s="38">
        <f t="shared" si="616"/>
        <v>138</v>
      </c>
      <c r="U208" s="38">
        <f t="shared" si="616"/>
        <v>0</v>
      </c>
      <c r="V208" s="38">
        <f t="shared" si="616"/>
        <v>3</v>
      </c>
      <c r="W208" s="38">
        <f t="shared" si="616"/>
        <v>0</v>
      </c>
      <c r="X208" s="38">
        <f t="shared" si="616"/>
        <v>141</v>
      </c>
      <c r="Y208" s="38">
        <f t="shared" si="616"/>
        <v>0</v>
      </c>
      <c r="Z208" s="38">
        <f t="shared" si="616"/>
        <v>0</v>
      </c>
      <c r="AA208" s="38">
        <f t="shared" si="616"/>
        <v>0</v>
      </c>
      <c r="AB208" s="38">
        <f t="shared" si="616"/>
        <v>141</v>
      </c>
      <c r="AC208" s="38">
        <f t="shared" si="616"/>
        <v>0</v>
      </c>
      <c r="AD208" s="38">
        <f t="shared" si="616"/>
        <v>0</v>
      </c>
      <c r="AE208" s="38">
        <f t="shared" si="616"/>
        <v>0</v>
      </c>
      <c r="AF208" s="38">
        <f t="shared" si="616"/>
        <v>141</v>
      </c>
      <c r="AG208" s="38">
        <f t="shared" si="616"/>
        <v>1</v>
      </c>
      <c r="AH208" s="38">
        <f t="shared" si="616"/>
        <v>0</v>
      </c>
      <c r="AI208" s="38">
        <f t="shared" si="616"/>
        <v>0</v>
      </c>
      <c r="AJ208" s="38">
        <f t="shared" si="616"/>
        <v>142</v>
      </c>
      <c r="AK208" s="38">
        <f t="shared" si="616"/>
        <v>0</v>
      </c>
      <c r="AL208" s="38">
        <f t="shared" si="616"/>
        <v>0</v>
      </c>
      <c r="AM208" s="38">
        <f t="shared" si="616"/>
        <v>0</v>
      </c>
      <c r="AN208" s="38">
        <f t="shared" si="616"/>
        <v>142</v>
      </c>
      <c r="AO208" s="38">
        <f t="shared" si="616"/>
        <v>0</v>
      </c>
      <c r="AP208" s="38">
        <f t="shared" si="616"/>
        <v>0</v>
      </c>
      <c r="AQ208" s="38">
        <f t="shared" si="616"/>
        <v>0</v>
      </c>
      <c r="AR208" s="38">
        <f t="shared" si="616"/>
        <v>142</v>
      </c>
      <c r="AS208" s="38">
        <f t="shared" si="616"/>
        <v>2</v>
      </c>
      <c r="AT208" s="38">
        <f t="shared" si="616"/>
        <v>0</v>
      </c>
      <c r="AU208" s="38">
        <f t="shared" si="616"/>
        <v>0</v>
      </c>
      <c r="AV208" s="38">
        <f t="shared" si="616"/>
        <v>144</v>
      </c>
      <c r="AW208" s="38">
        <f t="shared" si="616"/>
        <v>0</v>
      </c>
      <c r="AX208" s="38">
        <f t="shared" si="616"/>
        <v>0</v>
      </c>
      <c r="AY208" s="38">
        <f t="shared" si="616"/>
        <v>0</v>
      </c>
      <c r="AZ208" s="38">
        <f t="shared" si="616"/>
        <v>144</v>
      </c>
      <c r="BA208" s="38">
        <f t="shared" si="616"/>
        <v>4</v>
      </c>
      <c r="BB208" s="38">
        <f t="shared" si="616"/>
        <v>17</v>
      </c>
      <c r="BC208" s="38">
        <f t="shared" si="616"/>
        <v>0</v>
      </c>
      <c r="BD208" s="38">
        <f t="shared" si="616"/>
        <v>165</v>
      </c>
      <c r="BE208" s="38">
        <f t="shared" si="616"/>
        <v>0</v>
      </c>
      <c r="BF208" s="38">
        <f t="shared" si="616"/>
        <v>15</v>
      </c>
      <c r="BG208" s="38">
        <f t="shared" si="616"/>
        <v>0</v>
      </c>
      <c r="BH208" s="38">
        <f t="shared" si="616"/>
        <v>180</v>
      </c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35"/>
      <c r="B209" s="35" t="s">
        <v>35</v>
      </c>
      <c r="C209" s="35">
        <f>COUNT(C202:C207)</f>
        <v>6</v>
      </c>
      <c r="D209" s="35"/>
      <c r="E209" s="35">
        <f>SUM(E201:E207)</f>
        <v>164</v>
      </c>
      <c r="F209" s="35">
        <f>SUM(E201:E207)+1</f>
        <v>165</v>
      </c>
      <c r="G209" s="63">
        <f>$BH208/F209</f>
        <v>1.090909091</v>
      </c>
      <c r="H209" s="39">
        <f t="shared" ref="H209:J209" si="617">SUM(H201:H207)</f>
        <v>115</v>
      </c>
      <c r="I209" s="39">
        <f t="shared" si="617"/>
        <v>118</v>
      </c>
      <c r="J209" s="39">
        <f t="shared" si="617"/>
        <v>3</v>
      </c>
      <c r="K209" s="35"/>
      <c r="L209" s="35"/>
      <c r="M209" s="35"/>
      <c r="N209" s="35"/>
      <c r="O209" s="35"/>
      <c r="P209" s="63">
        <f>P208/F209</f>
        <v>0.8363636364</v>
      </c>
      <c r="Q209" s="39">
        <f t="shared" ref="Q209:S209" si="618">M208+Q208</f>
        <v>0</v>
      </c>
      <c r="R209" s="39">
        <f t="shared" si="618"/>
        <v>18</v>
      </c>
      <c r="S209" s="39">
        <f t="shared" si="618"/>
        <v>0</v>
      </c>
      <c r="T209" s="63">
        <f>T208/F209</f>
        <v>0.8363636364</v>
      </c>
      <c r="U209" s="39">
        <f t="shared" ref="U209:W209" si="619">Q209+U208</f>
        <v>0</v>
      </c>
      <c r="V209" s="39">
        <f t="shared" si="619"/>
        <v>21</v>
      </c>
      <c r="W209" s="39">
        <f t="shared" si="619"/>
        <v>0</v>
      </c>
      <c r="X209" s="63">
        <f>X208/F209</f>
        <v>0.8545454545</v>
      </c>
      <c r="Y209" s="39">
        <f t="shared" ref="Y209:AA209" si="620">U209+Y208</f>
        <v>0</v>
      </c>
      <c r="Z209" s="39">
        <f t="shared" si="620"/>
        <v>21</v>
      </c>
      <c r="AA209" s="39">
        <f t="shared" si="620"/>
        <v>0</v>
      </c>
      <c r="AB209" s="63">
        <f>AB208/F209</f>
        <v>0.8545454545</v>
      </c>
      <c r="AC209" s="39">
        <f t="shared" ref="AC209:AE209" si="621">Y209+AC208</f>
        <v>0</v>
      </c>
      <c r="AD209" s="39">
        <f t="shared" si="621"/>
        <v>21</v>
      </c>
      <c r="AE209" s="39">
        <f t="shared" si="621"/>
        <v>0</v>
      </c>
      <c r="AF209" s="63">
        <f>AF208/F209</f>
        <v>0.8545454545</v>
      </c>
      <c r="AG209" s="39">
        <f t="shared" ref="AG209:AI209" si="622">AC209+AG208</f>
        <v>1</v>
      </c>
      <c r="AH209" s="39">
        <f t="shared" si="622"/>
        <v>21</v>
      </c>
      <c r="AI209" s="39">
        <f t="shared" si="622"/>
        <v>0</v>
      </c>
      <c r="AJ209" s="63">
        <f>AJ208/F209</f>
        <v>0.8606060606</v>
      </c>
      <c r="AK209" s="39">
        <f t="shared" ref="AK209:AM209" si="623">AG209+AK208</f>
        <v>1</v>
      </c>
      <c r="AL209" s="39">
        <f t="shared" si="623"/>
        <v>21</v>
      </c>
      <c r="AM209" s="39">
        <f t="shared" si="623"/>
        <v>0</v>
      </c>
      <c r="AN209" s="63">
        <f>AN208/F209</f>
        <v>0.8606060606</v>
      </c>
      <c r="AO209" s="39">
        <f t="shared" ref="AO209:AQ209" si="624">AK209+AO208</f>
        <v>1</v>
      </c>
      <c r="AP209" s="39">
        <f t="shared" si="624"/>
        <v>21</v>
      </c>
      <c r="AQ209" s="39">
        <f t="shared" si="624"/>
        <v>0</v>
      </c>
      <c r="AR209" s="63">
        <f>AR208/F209</f>
        <v>0.8606060606</v>
      </c>
      <c r="AS209" s="39">
        <f t="shared" ref="AS209:AU209" si="625">AO209+AS208</f>
        <v>3</v>
      </c>
      <c r="AT209" s="39">
        <f t="shared" si="625"/>
        <v>21</v>
      </c>
      <c r="AU209" s="39">
        <f t="shared" si="625"/>
        <v>0</v>
      </c>
      <c r="AV209" s="63">
        <f>AV208/F209</f>
        <v>0.8727272727</v>
      </c>
      <c r="AW209" s="39">
        <f t="shared" ref="AW209:AY209" si="626">AS209+AW208</f>
        <v>3</v>
      </c>
      <c r="AX209" s="39">
        <f t="shared" si="626"/>
        <v>21</v>
      </c>
      <c r="AY209" s="39">
        <f t="shared" si="626"/>
        <v>0</v>
      </c>
      <c r="AZ209" s="63">
        <f>AZ208/F209</f>
        <v>0.8727272727</v>
      </c>
      <c r="BA209" s="39">
        <f t="shared" ref="BA209:BC209" si="627">AW209+BA208</f>
        <v>7</v>
      </c>
      <c r="BB209" s="39">
        <f t="shared" si="627"/>
        <v>38</v>
      </c>
      <c r="BC209" s="39">
        <f t="shared" si="627"/>
        <v>0</v>
      </c>
      <c r="BD209" s="63">
        <f>BD208/F209</f>
        <v>1</v>
      </c>
      <c r="BE209" s="39">
        <f t="shared" ref="BE209:BG209" si="628">BA209+BE208</f>
        <v>7</v>
      </c>
      <c r="BF209" s="39">
        <f t="shared" si="628"/>
        <v>53</v>
      </c>
      <c r="BG209" s="39">
        <f t="shared" si="628"/>
        <v>0</v>
      </c>
      <c r="BH209" s="63">
        <f>BH208/F209</f>
        <v>1.090909091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50"/>
      <c r="B210" s="50"/>
      <c r="C210" s="50"/>
      <c r="D210" s="50"/>
      <c r="E210" s="50"/>
      <c r="F210" s="50"/>
      <c r="G210" s="50"/>
      <c r="H210" s="65"/>
      <c r="I210" s="65"/>
      <c r="J210" s="65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66" t="s">
        <v>182</v>
      </c>
      <c r="B211" s="35"/>
      <c r="C211" s="35"/>
      <c r="D211" s="35"/>
      <c r="E211" s="35"/>
      <c r="F211" s="35"/>
      <c r="G211" s="63"/>
      <c r="H211" s="39"/>
      <c r="I211" s="39"/>
      <c r="J211" s="39"/>
      <c r="K211" s="35">
        <v>2027.0</v>
      </c>
      <c r="L211" s="35"/>
      <c r="M211" s="35"/>
      <c r="N211" s="35"/>
      <c r="O211" s="35"/>
      <c r="P211" s="39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41" t="s">
        <v>183</v>
      </c>
      <c r="C212" s="35">
        <v>1.0</v>
      </c>
      <c r="D212" s="35">
        <v>5789.0</v>
      </c>
      <c r="E212" s="35">
        <v>44.0</v>
      </c>
      <c r="F212" s="21">
        <f t="shared" ref="F212:F219" si="629">E212+1</f>
        <v>45</v>
      </c>
      <c r="G212" s="63">
        <f t="shared" ref="G212:G219" si="630">$BH212/F212</f>
        <v>0.8222222222</v>
      </c>
      <c r="H212" s="39">
        <v>22.0</v>
      </c>
      <c r="I212" s="39">
        <f>+H212+J212</f>
        <v>22</v>
      </c>
      <c r="J212" s="39"/>
      <c r="K212" s="35">
        <v>2027.0</v>
      </c>
      <c r="L212" s="35">
        <v>2025.0</v>
      </c>
      <c r="M212" s="35"/>
      <c r="N212" s="35"/>
      <c r="O212" s="35"/>
      <c r="P212" s="39">
        <f t="shared" ref="P212:P219" si="631">SUM(M212:O212)+H212</f>
        <v>22</v>
      </c>
      <c r="Q212" s="35"/>
      <c r="R212" s="35"/>
      <c r="S212" s="35"/>
      <c r="T212" s="39">
        <f t="shared" ref="T212:T219" si="632">SUM(P212:S212)</f>
        <v>22</v>
      </c>
      <c r="U212" s="35"/>
      <c r="V212" s="35">
        <v>15.0</v>
      </c>
      <c r="W212" s="35"/>
      <c r="X212" s="39">
        <f t="shared" ref="X212:X219" si="633">SUM(T212:W212)</f>
        <v>37</v>
      </c>
      <c r="Y212" s="35"/>
      <c r="Z212" s="41"/>
      <c r="AA212" s="35"/>
      <c r="AB212" s="39">
        <f t="shared" ref="AB212:AB219" si="634">SUM(X212:AA212)</f>
        <v>37</v>
      </c>
      <c r="AC212" s="35"/>
      <c r="AD212" s="35"/>
      <c r="AE212" s="35"/>
      <c r="AF212" s="39">
        <f t="shared" ref="AF212:AF219" si="635">SUM(AB212:AE212)</f>
        <v>37</v>
      </c>
      <c r="AG212" s="35"/>
      <c r="AH212" s="35"/>
      <c r="AI212" s="35"/>
      <c r="AJ212" s="39">
        <f t="shared" ref="AJ212:AJ219" si="636">SUM(AF212:AI212)</f>
        <v>37</v>
      </c>
      <c r="AK212" s="35"/>
      <c r="AL212" s="35"/>
      <c r="AM212" s="35"/>
      <c r="AN212" s="39">
        <f t="shared" ref="AN212:AN219" si="637">SUM(AJ212:AM212)</f>
        <v>37</v>
      </c>
      <c r="AO212" s="35"/>
      <c r="AP212" s="35"/>
      <c r="AQ212" s="35"/>
      <c r="AR212" s="39">
        <f t="shared" ref="AR212:AR219" si="638">SUM(AN212:AQ212)</f>
        <v>37</v>
      </c>
      <c r="AS212" s="35"/>
      <c r="AT212" s="35"/>
      <c r="AU212" s="35"/>
      <c r="AV212" s="39">
        <f t="shared" ref="AV212:AV219" si="639">SUM(AR212:AU212)</f>
        <v>37</v>
      </c>
      <c r="AW212" s="35"/>
      <c r="AX212" s="35"/>
      <c r="AY212" s="35"/>
      <c r="AZ212" s="39">
        <f t="shared" ref="AZ212:AZ219" si="640">SUM(AV212:AY212)</f>
        <v>37</v>
      </c>
      <c r="BA212" s="35"/>
      <c r="BB212" s="35"/>
      <c r="BC212" s="35"/>
      <c r="BD212" s="39">
        <f t="shared" ref="BD212:BD219" si="641">SUM(AZ212:BC212)</f>
        <v>37</v>
      </c>
      <c r="BE212" s="35"/>
      <c r="BF212" s="35"/>
      <c r="BG212" s="35"/>
      <c r="BH212" s="39">
        <f t="shared" ref="BH212:BH219" si="642">SUM(BD212:BG212)</f>
        <v>37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41" t="s">
        <v>184</v>
      </c>
      <c r="C213" s="35">
        <v>2.0</v>
      </c>
      <c r="D213" s="35">
        <v>4107.0</v>
      </c>
      <c r="E213" s="35">
        <v>27.0</v>
      </c>
      <c r="F213" s="21">
        <f t="shared" si="629"/>
        <v>28</v>
      </c>
      <c r="G213" s="63">
        <f t="shared" si="630"/>
        <v>1</v>
      </c>
      <c r="H213" s="39">
        <v>8.0</v>
      </c>
      <c r="I213" s="73">
        <v>2.0</v>
      </c>
      <c r="J213" s="39">
        <v>2.0</v>
      </c>
      <c r="K213" s="35">
        <v>2027.0</v>
      </c>
      <c r="L213" s="35">
        <v>2025.0</v>
      </c>
      <c r="M213" s="35"/>
      <c r="N213" s="35"/>
      <c r="O213" s="35">
        <v>1.0</v>
      </c>
      <c r="P213" s="39">
        <f t="shared" si="631"/>
        <v>9</v>
      </c>
      <c r="Q213" s="35"/>
      <c r="R213" s="35">
        <v>14.0</v>
      </c>
      <c r="S213" s="35"/>
      <c r="T213" s="39">
        <f t="shared" si="632"/>
        <v>23</v>
      </c>
      <c r="U213" s="35"/>
      <c r="V213" s="35"/>
      <c r="W213" s="35"/>
      <c r="X213" s="39">
        <f t="shared" si="633"/>
        <v>23</v>
      </c>
      <c r="Y213" s="35"/>
      <c r="Z213" s="35"/>
      <c r="AA213" s="35"/>
      <c r="AB213" s="39">
        <f t="shared" si="634"/>
        <v>23</v>
      </c>
      <c r="AC213" s="35"/>
      <c r="AD213" s="35"/>
      <c r="AE213" s="35"/>
      <c r="AF213" s="39">
        <f t="shared" si="635"/>
        <v>23</v>
      </c>
      <c r="AG213" s="35"/>
      <c r="AH213" s="35"/>
      <c r="AI213" s="35"/>
      <c r="AJ213" s="39">
        <f t="shared" si="636"/>
        <v>23</v>
      </c>
      <c r="AK213" s="35"/>
      <c r="AL213" s="35"/>
      <c r="AM213" s="35"/>
      <c r="AN213" s="39">
        <f t="shared" si="637"/>
        <v>23</v>
      </c>
      <c r="AO213" s="35"/>
      <c r="AP213" s="41">
        <v>3.0</v>
      </c>
      <c r="AQ213" s="41">
        <v>1.0</v>
      </c>
      <c r="AR213" s="39">
        <f t="shared" si="638"/>
        <v>27</v>
      </c>
      <c r="AS213" s="35"/>
      <c r="AT213" s="35"/>
      <c r="AU213" s="35"/>
      <c r="AV213" s="39">
        <f t="shared" si="639"/>
        <v>27</v>
      </c>
      <c r="AW213" s="41">
        <v>1.0</v>
      </c>
      <c r="AX213" s="35"/>
      <c r="AY213" s="35"/>
      <c r="AZ213" s="39">
        <f t="shared" si="640"/>
        <v>28</v>
      </c>
      <c r="BA213" s="35"/>
      <c r="BB213" s="35"/>
      <c r="BC213" s="35"/>
      <c r="BD213" s="39">
        <f t="shared" si="641"/>
        <v>28</v>
      </c>
      <c r="BE213" s="35"/>
      <c r="BF213" s="35"/>
      <c r="BG213" s="35"/>
      <c r="BH213" s="39">
        <f t="shared" si="642"/>
        <v>28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117" t="s">
        <v>185</v>
      </c>
      <c r="C214" s="35">
        <v>5.0</v>
      </c>
      <c r="D214" s="35">
        <v>2866.0</v>
      </c>
      <c r="E214" s="36">
        <v>67.0</v>
      </c>
      <c r="F214" s="21">
        <f t="shared" si="629"/>
        <v>68</v>
      </c>
      <c r="G214" s="63">
        <f t="shared" si="630"/>
        <v>1.044117647</v>
      </c>
      <c r="H214" s="39">
        <v>56.0</v>
      </c>
      <c r="I214" s="39">
        <f t="shared" ref="I214:I219" si="643">+H214+J214</f>
        <v>56</v>
      </c>
      <c r="J214" s="39"/>
      <c r="K214" s="35">
        <v>2027.0</v>
      </c>
      <c r="L214" s="35">
        <v>2025.0</v>
      </c>
      <c r="M214" s="35">
        <v>1.0</v>
      </c>
      <c r="N214" s="35"/>
      <c r="O214" s="35"/>
      <c r="P214" s="39">
        <f t="shared" si="631"/>
        <v>57</v>
      </c>
      <c r="Q214" s="35">
        <v>1.0</v>
      </c>
      <c r="R214" s="35">
        <v>10.0</v>
      </c>
      <c r="S214" s="35"/>
      <c r="T214" s="39">
        <f t="shared" si="632"/>
        <v>68</v>
      </c>
      <c r="U214" s="35">
        <v>1.0</v>
      </c>
      <c r="V214" s="35"/>
      <c r="W214" s="35"/>
      <c r="X214" s="39">
        <f t="shared" si="633"/>
        <v>69</v>
      </c>
      <c r="Y214" s="41">
        <v>1.0</v>
      </c>
      <c r="Z214" s="35"/>
      <c r="AA214" s="35"/>
      <c r="AB214" s="39">
        <f t="shared" si="634"/>
        <v>70</v>
      </c>
      <c r="AC214" s="35"/>
      <c r="AD214" s="35"/>
      <c r="AE214" s="35"/>
      <c r="AF214" s="39">
        <f t="shared" si="635"/>
        <v>70</v>
      </c>
      <c r="AG214" s="35"/>
      <c r="AH214" s="35"/>
      <c r="AI214" s="41">
        <v>1.0</v>
      </c>
      <c r="AJ214" s="39">
        <f t="shared" si="636"/>
        <v>71</v>
      </c>
      <c r="AK214" s="35"/>
      <c r="AL214" s="35"/>
      <c r="AM214" s="35"/>
      <c r="AN214" s="39">
        <f t="shared" si="637"/>
        <v>71</v>
      </c>
      <c r="AO214" s="35"/>
      <c r="AP214" s="35"/>
      <c r="AQ214" s="35"/>
      <c r="AR214" s="39">
        <f t="shared" si="638"/>
        <v>71</v>
      </c>
      <c r="AS214" s="35"/>
      <c r="AT214" s="35"/>
      <c r="AU214" s="35"/>
      <c r="AV214" s="39">
        <f t="shared" si="639"/>
        <v>71</v>
      </c>
      <c r="AW214" s="35"/>
      <c r="AX214" s="35"/>
      <c r="AY214" s="35"/>
      <c r="AZ214" s="39">
        <f t="shared" si="640"/>
        <v>71</v>
      </c>
      <c r="BA214" s="35"/>
      <c r="BB214" s="35"/>
      <c r="BC214" s="35"/>
      <c r="BD214" s="39">
        <f t="shared" si="641"/>
        <v>71</v>
      </c>
      <c r="BE214" s="35"/>
      <c r="BF214" s="35"/>
      <c r="BG214" s="35"/>
      <c r="BH214" s="39">
        <f t="shared" si="642"/>
        <v>71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30.0" customHeight="1">
      <c r="A215" s="21"/>
      <c r="B215" s="118" t="s">
        <v>186</v>
      </c>
      <c r="C215" s="35">
        <v>12.0</v>
      </c>
      <c r="D215" s="35">
        <v>3944.0</v>
      </c>
      <c r="E215" s="35">
        <v>34.0</v>
      </c>
      <c r="F215" s="21">
        <f t="shared" si="629"/>
        <v>35</v>
      </c>
      <c r="G215" s="63">
        <f t="shared" si="630"/>
        <v>0.9142857143</v>
      </c>
      <c r="H215" s="39">
        <v>25.0</v>
      </c>
      <c r="I215" s="39">
        <f t="shared" si="643"/>
        <v>27</v>
      </c>
      <c r="J215" s="39">
        <v>2.0</v>
      </c>
      <c r="K215" s="35">
        <v>2027.0</v>
      </c>
      <c r="L215" s="35">
        <v>2025.0</v>
      </c>
      <c r="M215" s="41">
        <v>2.0</v>
      </c>
      <c r="N215" s="41">
        <v>4.0</v>
      </c>
      <c r="O215" s="35"/>
      <c r="P215" s="39">
        <f t="shared" si="631"/>
        <v>31</v>
      </c>
      <c r="Q215" s="35"/>
      <c r="R215" s="35"/>
      <c r="S215" s="35"/>
      <c r="T215" s="39">
        <f t="shared" si="632"/>
        <v>31</v>
      </c>
      <c r="U215" s="35"/>
      <c r="V215" s="35"/>
      <c r="W215" s="35"/>
      <c r="X215" s="39">
        <f t="shared" si="633"/>
        <v>31</v>
      </c>
      <c r="Y215" s="35"/>
      <c r="Z215" s="35"/>
      <c r="AA215" s="35"/>
      <c r="AB215" s="39">
        <f t="shared" si="634"/>
        <v>31</v>
      </c>
      <c r="AC215" s="35"/>
      <c r="AD215" s="35"/>
      <c r="AE215" s="35"/>
      <c r="AF215" s="39">
        <f t="shared" si="635"/>
        <v>31</v>
      </c>
      <c r="AG215" s="35"/>
      <c r="AH215" s="35"/>
      <c r="AI215" s="35"/>
      <c r="AJ215" s="39">
        <f t="shared" si="636"/>
        <v>31</v>
      </c>
      <c r="AK215" s="35"/>
      <c r="AL215" s="35"/>
      <c r="AM215" s="35"/>
      <c r="AN215" s="39">
        <f t="shared" si="637"/>
        <v>31</v>
      </c>
      <c r="AO215" s="35"/>
      <c r="AP215" s="41">
        <v>1.0</v>
      </c>
      <c r="AQ215" s="35"/>
      <c r="AR215" s="39">
        <f t="shared" si="638"/>
        <v>32</v>
      </c>
      <c r="AS215" s="35"/>
      <c r="AT215" s="35"/>
      <c r="AU215" s="35"/>
      <c r="AV215" s="39">
        <f t="shared" si="639"/>
        <v>32</v>
      </c>
      <c r="AW215" s="35"/>
      <c r="AX215" s="35"/>
      <c r="AY215" s="35"/>
      <c r="AZ215" s="39">
        <f t="shared" si="640"/>
        <v>32</v>
      </c>
      <c r="BA215" s="35"/>
      <c r="BB215" s="35"/>
      <c r="BC215" s="35"/>
      <c r="BD215" s="39">
        <f t="shared" si="641"/>
        <v>32</v>
      </c>
      <c r="BE215" s="35"/>
      <c r="BF215" s="35"/>
      <c r="BG215" s="35"/>
      <c r="BH215" s="39">
        <f t="shared" si="642"/>
        <v>32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187</v>
      </c>
      <c r="C216" s="35">
        <v>14.0</v>
      </c>
      <c r="D216" s="35">
        <v>3404.0</v>
      </c>
      <c r="E216" s="35">
        <v>14.0</v>
      </c>
      <c r="F216" s="21">
        <f t="shared" si="629"/>
        <v>15</v>
      </c>
      <c r="G216" s="63">
        <f t="shared" si="630"/>
        <v>0.8666666667</v>
      </c>
      <c r="H216" s="39">
        <v>12.0</v>
      </c>
      <c r="I216" s="39">
        <f t="shared" si="643"/>
        <v>12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1"/>
        <v>12</v>
      </c>
      <c r="Q216" s="35"/>
      <c r="R216" s="35"/>
      <c r="S216" s="35"/>
      <c r="T216" s="39">
        <f t="shared" si="632"/>
        <v>12</v>
      </c>
      <c r="U216" s="35"/>
      <c r="V216" s="35"/>
      <c r="W216" s="35"/>
      <c r="X216" s="39">
        <f t="shared" si="633"/>
        <v>12</v>
      </c>
      <c r="Y216" s="35"/>
      <c r="Z216" s="35"/>
      <c r="AA216" s="35"/>
      <c r="AB216" s="39">
        <f t="shared" si="634"/>
        <v>12</v>
      </c>
      <c r="AC216" s="35"/>
      <c r="AD216" s="35"/>
      <c r="AE216" s="35"/>
      <c r="AF216" s="39">
        <f t="shared" si="635"/>
        <v>12</v>
      </c>
      <c r="AG216" s="35"/>
      <c r="AH216" s="35"/>
      <c r="AI216" s="35"/>
      <c r="AJ216" s="39">
        <f t="shared" si="636"/>
        <v>12</v>
      </c>
      <c r="AK216" s="35"/>
      <c r="AL216" s="35"/>
      <c r="AM216" s="35"/>
      <c r="AN216" s="39">
        <f t="shared" si="637"/>
        <v>12</v>
      </c>
      <c r="AO216" s="35"/>
      <c r="AP216" s="35"/>
      <c r="AQ216" s="35"/>
      <c r="AR216" s="39">
        <f t="shared" si="638"/>
        <v>12</v>
      </c>
      <c r="AS216" s="35"/>
      <c r="AT216" s="35"/>
      <c r="AU216" s="35"/>
      <c r="AV216" s="39">
        <f t="shared" si="639"/>
        <v>12</v>
      </c>
      <c r="AW216" s="41">
        <v>1.0</v>
      </c>
      <c r="AX216" s="35"/>
      <c r="AY216" s="35"/>
      <c r="AZ216" s="39">
        <f t="shared" si="640"/>
        <v>13</v>
      </c>
      <c r="BA216" s="35"/>
      <c r="BB216" s="35"/>
      <c r="BC216" s="35"/>
      <c r="BD216" s="39">
        <f t="shared" si="641"/>
        <v>13</v>
      </c>
      <c r="BE216" s="35"/>
      <c r="BF216" s="35"/>
      <c r="BG216" s="35"/>
      <c r="BH216" s="39">
        <f t="shared" si="642"/>
        <v>13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188</v>
      </c>
      <c r="C217" s="35">
        <v>15.0</v>
      </c>
      <c r="D217" s="35">
        <v>3174.0</v>
      </c>
      <c r="E217" s="35">
        <v>34.0</v>
      </c>
      <c r="F217" s="21">
        <f t="shared" si="629"/>
        <v>35</v>
      </c>
      <c r="G217" s="63">
        <f t="shared" si="630"/>
        <v>1.085714286</v>
      </c>
      <c r="H217" s="39">
        <v>16.0</v>
      </c>
      <c r="I217" s="39">
        <f t="shared" si="643"/>
        <v>17</v>
      </c>
      <c r="J217" s="73">
        <v>1.0</v>
      </c>
      <c r="K217" s="35">
        <v>2027.0</v>
      </c>
      <c r="L217" s="35">
        <v>2025.0</v>
      </c>
      <c r="M217" s="41">
        <v>1.0</v>
      </c>
      <c r="N217" s="35">
        <v>2.0</v>
      </c>
      <c r="O217" s="35"/>
      <c r="P217" s="39">
        <f t="shared" si="631"/>
        <v>19</v>
      </c>
      <c r="Q217" s="35">
        <v>1.0</v>
      </c>
      <c r="R217" s="41">
        <v>10.0</v>
      </c>
      <c r="S217" s="35"/>
      <c r="T217" s="39">
        <f t="shared" si="632"/>
        <v>30</v>
      </c>
      <c r="U217" s="35"/>
      <c r="V217" s="35"/>
      <c r="W217" s="35"/>
      <c r="X217" s="39">
        <f t="shared" si="633"/>
        <v>30</v>
      </c>
      <c r="Y217" s="35"/>
      <c r="Z217" s="35"/>
      <c r="AA217" s="35"/>
      <c r="AB217" s="39">
        <f t="shared" si="634"/>
        <v>30</v>
      </c>
      <c r="AC217" s="35"/>
      <c r="AD217" s="41">
        <v>4.0</v>
      </c>
      <c r="AE217" s="35"/>
      <c r="AF217" s="39">
        <f t="shared" si="635"/>
        <v>34</v>
      </c>
      <c r="AG217" s="35">
        <v>1.0</v>
      </c>
      <c r="AH217" s="35"/>
      <c r="AI217" s="35"/>
      <c r="AJ217" s="39">
        <f t="shared" si="636"/>
        <v>35</v>
      </c>
      <c r="AK217" s="35"/>
      <c r="AL217" s="35"/>
      <c r="AM217" s="35"/>
      <c r="AN217" s="39">
        <f t="shared" si="637"/>
        <v>35</v>
      </c>
      <c r="AO217" s="35"/>
      <c r="AP217" s="35"/>
      <c r="AQ217" s="35"/>
      <c r="AR217" s="39">
        <f t="shared" si="638"/>
        <v>35</v>
      </c>
      <c r="AS217" s="41">
        <v>1.0</v>
      </c>
      <c r="AT217" s="35"/>
      <c r="AU217" s="35"/>
      <c r="AV217" s="39">
        <f t="shared" si="639"/>
        <v>36</v>
      </c>
      <c r="AW217" s="41">
        <v>2.0</v>
      </c>
      <c r="AX217" s="35"/>
      <c r="AY217" s="35"/>
      <c r="AZ217" s="39">
        <f t="shared" si="640"/>
        <v>38</v>
      </c>
      <c r="BA217" s="35"/>
      <c r="BB217" s="35"/>
      <c r="BC217" s="35"/>
      <c r="BD217" s="39">
        <f t="shared" si="641"/>
        <v>38</v>
      </c>
      <c r="BE217" s="35"/>
      <c r="BF217" s="35"/>
      <c r="BG217" s="35"/>
      <c r="BH217" s="39">
        <f t="shared" si="642"/>
        <v>38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21"/>
      <c r="B218" s="41" t="s">
        <v>189</v>
      </c>
      <c r="C218" s="35">
        <v>17.0</v>
      </c>
      <c r="D218" s="35">
        <v>5717.0</v>
      </c>
      <c r="E218" s="35">
        <v>18.0</v>
      </c>
      <c r="F218" s="21">
        <f t="shared" si="629"/>
        <v>19</v>
      </c>
      <c r="G218" s="63">
        <f t="shared" si="630"/>
        <v>0.7368421053</v>
      </c>
      <c r="H218" s="39">
        <v>14.0</v>
      </c>
      <c r="I218" s="39">
        <f t="shared" si="643"/>
        <v>15</v>
      </c>
      <c r="J218" s="39">
        <v>1.0</v>
      </c>
      <c r="K218" s="35">
        <v>2025.0</v>
      </c>
      <c r="L218" s="35">
        <v>2025.0</v>
      </c>
      <c r="M218" s="35"/>
      <c r="N218" s="35"/>
      <c r="O218" s="35"/>
      <c r="P218" s="39">
        <f t="shared" si="631"/>
        <v>14</v>
      </c>
      <c r="Q218" s="35"/>
      <c r="R218" s="35"/>
      <c r="S218" s="35"/>
      <c r="T218" s="39">
        <f t="shared" si="632"/>
        <v>14</v>
      </c>
      <c r="U218" s="35"/>
      <c r="V218" s="35"/>
      <c r="W218" s="35"/>
      <c r="X218" s="39">
        <f t="shared" si="633"/>
        <v>14</v>
      </c>
      <c r="Y218" s="35"/>
      <c r="Z218" s="35"/>
      <c r="AA218" s="35"/>
      <c r="AB218" s="39">
        <f t="shared" si="634"/>
        <v>14</v>
      </c>
      <c r="AC218" s="35"/>
      <c r="AD218" s="35"/>
      <c r="AE218" s="35"/>
      <c r="AF218" s="39">
        <f t="shared" si="635"/>
        <v>14</v>
      </c>
      <c r="AG218" s="35"/>
      <c r="AH218" s="35"/>
      <c r="AI218" s="35"/>
      <c r="AJ218" s="39">
        <f t="shared" si="636"/>
        <v>14</v>
      </c>
      <c r="AK218" s="35"/>
      <c r="AL218" s="35"/>
      <c r="AM218" s="35"/>
      <c r="AN218" s="39">
        <f t="shared" si="637"/>
        <v>14</v>
      </c>
      <c r="AO218" s="35"/>
      <c r="AP218" s="35"/>
      <c r="AQ218" s="35"/>
      <c r="AR218" s="39">
        <f t="shared" si="638"/>
        <v>14</v>
      </c>
      <c r="AS218" s="35"/>
      <c r="AT218" s="35"/>
      <c r="AU218" s="35"/>
      <c r="AV218" s="39">
        <f t="shared" si="639"/>
        <v>14</v>
      </c>
      <c r="AW218" s="35"/>
      <c r="AX218" s="35"/>
      <c r="AY218" s="35"/>
      <c r="AZ218" s="39">
        <f t="shared" si="640"/>
        <v>14</v>
      </c>
      <c r="BA218" s="35"/>
      <c r="BB218" s="35"/>
      <c r="BC218" s="35"/>
      <c r="BD218" s="39">
        <f t="shared" si="641"/>
        <v>14</v>
      </c>
      <c r="BE218" s="35"/>
      <c r="BF218" s="35"/>
      <c r="BG218" s="35"/>
      <c r="BH218" s="39">
        <f t="shared" si="642"/>
        <v>14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21"/>
      <c r="B219" s="41" t="s">
        <v>190</v>
      </c>
      <c r="C219" s="35">
        <v>56.0</v>
      </c>
      <c r="D219" s="35">
        <v>3168.0</v>
      </c>
      <c r="E219" s="35">
        <v>30.0</v>
      </c>
      <c r="F219" s="21">
        <f t="shared" si="629"/>
        <v>31</v>
      </c>
      <c r="G219" s="63">
        <f t="shared" si="630"/>
        <v>0.5483870968</v>
      </c>
      <c r="H219" s="39">
        <v>17.0</v>
      </c>
      <c r="I219" s="39">
        <f t="shared" si="643"/>
        <v>17</v>
      </c>
      <c r="J219" s="39"/>
      <c r="K219" s="35">
        <v>2025.0</v>
      </c>
      <c r="L219" s="35">
        <v>2025.0</v>
      </c>
      <c r="M219" s="35"/>
      <c r="N219" s="35"/>
      <c r="O219" s="35"/>
      <c r="P219" s="39">
        <f t="shared" si="631"/>
        <v>17</v>
      </c>
      <c r="Q219" s="35"/>
      <c r="R219" s="35"/>
      <c r="S219" s="35"/>
      <c r="T219" s="39">
        <f t="shared" si="632"/>
        <v>17</v>
      </c>
      <c r="U219" s="35"/>
      <c r="V219" s="35"/>
      <c r="W219" s="35"/>
      <c r="X219" s="39">
        <f t="shared" si="633"/>
        <v>17</v>
      </c>
      <c r="Y219" s="35"/>
      <c r="Z219" s="35"/>
      <c r="AA219" s="35"/>
      <c r="AB219" s="39">
        <f t="shared" si="634"/>
        <v>17</v>
      </c>
      <c r="AC219" s="35"/>
      <c r="AD219" s="35"/>
      <c r="AE219" s="35"/>
      <c r="AF219" s="39">
        <f t="shared" si="635"/>
        <v>17</v>
      </c>
      <c r="AG219" s="35"/>
      <c r="AH219" s="35"/>
      <c r="AI219" s="35"/>
      <c r="AJ219" s="39">
        <f t="shared" si="636"/>
        <v>17</v>
      </c>
      <c r="AK219" s="35"/>
      <c r="AL219" s="35"/>
      <c r="AM219" s="35"/>
      <c r="AN219" s="39">
        <f t="shared" si="637"/>
        <v>17</v>
      </c>
      <c r="AO219" s="35"/>
      <c r="AP219" s="35"/>
      <c r="AQ219" s="35"/>
      <c r="AR219" s="39">
        <f t="shared" si="638"/>
        <v>17</v>
      </c>
      <c r="AS219" s="35"/>
      <c r="AT219" s="35"/>
      <c r="AU219" s="35"/>
      <c r="AV219" s="39">
        <f t="shared" si="639"/>
        <v>17</v>
      </c>
      <c r="AW219" s="35"/>
      <c r="AX219" s="35"/>
      <c r="AY219" s="35"/>
      <c r="AZ219" s="39">
        <f t="shared" si="640"/>
        <v>17</v>
      </c>
      <c r="BA219" s="35"/>
      <c r="BB219" s="35"/>
      <c r="BC219" s="35"/>
      <c r="BD219" s="39">
        <f t="shared" si="641"/>
        <v>17</v>
      </c>
      <c r="BE219" s="35"/>
      <c r="BF219" s="35"/>
      <c r="BG219" s="35"/>
      <c r="BH219" s="39">
        <f t="shared" si="642"/>
        <v>17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35"/>
      <c r="B220" s="40"/>
      <c r="C220" s="40"/>
      <c r="D220" s="40"/>
      <c r="E220" s="40"/>
      <c r="F220" s="40"/>
      <c r="G220" s="40"/>
      <c r="H220" s="38"/>
      <c r="I220" s="38"/>
      <c r="J220" s="38"/>
      <c r="K220" s="40"/>
      <c r="L220" s="40"/>
      <c r="M220" s="40">
        <f t="shared" ref="M220:O220" si="644">SUM(M212:M219)</f>
        <v>4</v>
      </c>
      <c r="N220" s="40">
        <f t="shared" si="644"/>
        <v>6</v>
      </c>
      <c r="O220" s="40">
        <f t="shared" si="644"/>
        <v>1</v>
      </c>
      <c r="P220" s="38">
        <f t="shared" ref="P220:BH220" si="645">SUM(P211:P219)</f>
        <v>181</v>
      </c>
      <c r="Q220" s="40">
        <f t="shared" si="645"/>
        <v>2</v>
      </c>
      <c r="R220" s="40">
        <f t="shared" si="645"/>
        <v>34</v>
      </c>
      <c r="S220" s="40">
        <f t="shared" si="645"/>
        <v>0</v>
      </c>
      <c r="T220" s="35">
        <f t="shared" si="645"/>
        <v>217</v>
      </c>
      <c r="U220" s="35">
        <f t="shared" si="645"/>
        <v>1</v>
      </c>
      <c r="V220" s="35">
        <f t="shared" si="645"/>
        <v>15</v>
      </c>
      <c r="W220" s="35">
        <f t="shared" si="645"/>
        <v>0</v>
      </c>
      <c r="X220" s="35">
        <f t="shared" si="645"/>
        <v>233</v>
      </c>
      <c r="Y220" s="35">
        <f t="shared" si="645"/>
        <v>1</v>
      </c>
      <c r="Z220" s="35">
        <f t="shared" si="645"/>
        <v>0</v>
      </c>
      <c r="AA220" s="35">
        <f t="shared" si="645"/>
        <v>0</v>
      </c>
      <c r="AB220" s="35">
        <f t="shared" si="645"/>
        <v>234</v>
      </c>
      <c r="AC220" s="35">
        <f t="shared" si="645"/>
        <v>0</v>
      </c>
      <c r="AD220" s="35">
        <f t="shared" si="645"/>
        <v>4</v>
      </c>
      <c r="AE220" s="35">
        <f t="shared" si="645"/>
        <v>0</v>
      </c>
      <c r="AF220" s="35">
        <f t="shared" si="645"/>
        <v>238</v>
      </c>
      <c r="AG220" s="35">
        <f t="shared" si="645"/>
        <v>1</v>
      </c>
      <c r="AH220" s="35">
        <f t="shared" si="645"/>
        <v>0</v>
      </c>
      <c r="AI220" s="35">
        <f t="shared" si="645"/>
        <v>1</v>
      </c>
      <c r="AJ220" s="35">
        <f t="shared" si="645"/>
        <v>240</v>
      </c>
      <c r="AK220" s="35">
        <f t="shared" si="645"/>
        <v>0</v>
      </c>
      <c r="AL220" s="35">
        <f t="shared" si="645"/>
        <v>0</v>
      </c>
      <c r="AM220" s="35">
        <f t="shared" si="645"/>
        <v>0</v>
      </c>
      <c r="AN220" s="35">
        <f t="shared" si="645"/>
        <v>240</v>
      </c>
      <c r="AO220" s="35">
        <f t="shared" si="645"/>
        <v>0</v>
      </c>
      <c r="AP220" s="35">
        <f t="shared" si="645"/>
        <v>4</v>
      </c>
      <c r="AQ220" s="35">
        <f t="shared" si="645"/>
        <v>1</v>
      </c>
      <c r="AR220" s="35">
        <f t="shared" si="645"/>
        <v>245</v>
      </c>
      <c r="AS220" s="35">
        <f t="shared" si="645"/>
        <v>1</v>
      </c>
      <c r="AT220" s="35">
        <f t="shared" si="645"/>
        <v>0</v>
      </c>
      <c r="AU220" s="35">
        <f t="shared" si="645"/>
        <v>0</v>
      </c>
      <c r="AV220" s="35">
        <f t="shared" si="645"/>
        <v>246</v>
      </c>
      <c r="AW220" s="35">
        <f t="shared" si="645"/>
        <v>4</v>
      </c>
      <c r="AX220" s="35">
        <f t="shared" si="645"/>
        <v>0</v>
      </c>
      <c r="AY220" s="35">
        <f t="shared" si="645"/>
        <v>0</v>
      </c>
      <c r="AZ220" s="35">
        <f t="shared" si="645"/>
        <v>250</v>
      </c>
      <c r="BA220" s="35">
        <f t="shared" si="645"/>
        <v>0</v>
      </c>
      <c r="BB220" s="35">
        <f t="shared" si="645"/>
        <v>0</v>
      </c>
      <c r="BC220" s="35">
        <f t="shared" si="645"/>
        <v>0</v>
      </c>
      <c r="BD220" s="35">
        <f t="shared" si="645"/>
        <v>250</v>
      </c>
      <c r="BE220" s="35">
        <f t="shared" si="645"/>
        <v>0</v>
      </c>
      <c r="BF220" s="35">
        <f t="shared" si="645"/>
        <v>0</v>
      </c>
      <c r="BG220" s="35">
        <f t="shared" si="645"/>
        <v>0</v>
      </c>
      <c r="BH220" s="35">
        <f t="shared" si="645"/>
        <v>250</v>
      </c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35" t="s">
        <v>35</v>
      </c>
      <c r="C221" s="35">
        <f>COUNT(C212:C219)</f>
        <v>8</v>
      </c>
      <c r="D221" s="35"/>
      <c r="E221" s="35">
        <f>SUM(E211:E219)</f>
        <v>268</v>
      </c>
      <c r="F221" s="35">
        <f>SUM(E211:E219)+1</f>
        <v>269</v>
      </c>
      <c r="G221" s="63">
        <f>$BH220/F221</f>
        <v>0.9293680297</v>
      </c>
      <c r="H221" s="39">
        <f t="shared" ref="H221:J221" si="646">SUM(H211:H219)</f>
        <v>170</v>
      </c>
      <c r="I221" s="39">
        <f t="shared" si="646"/>
        <v>168</v>
      </c>
      <c r="J221" s="39">
        <f t="shared" si="646"/>
        <v>6</v>
      </c>
      <c r="K221" s="35"/>
      <c r="L221" s="35"/>
      <c r="M221" s="35"/>
      <c r="N221" s="35"/>
      <c r="O221" s="35"/>
      <c r="P221" s="63">
        <f>P220/F221</f>
        <v>0.6728624535</v>
      </c>
      <c r="Q221" s="35">
        <f t="shared" ref="Q221:S221" si="647">M220+Q220</f>
        <v>6</v>
      </c>
      <c r="R221" s="35">
        <f t="shared" si="647"/>
        <v>40</v>
      </c>
      <c r="S221" s="35">
        <f t="shared" si="647"/>
        <v>1</v>
      </c>
      <c r="T221" s="63">
        <f>T220/F221</f>
        <v>0.8066914498</v>
      </c>
      <c r="U221" s="35">
        <f t="shared" ref="U221:W221" si="648">Q221+U220</f>
        <v>7</v>
      </c>
      <c r="V221" s="35">
        <f t="shared" si="648"/>
        <v>55</v>
      </c>
      <c r="W221" s="35">
        <f t="shared" si="648"/>
        <v>1</v>
      </c>
      <c r="X221" s="63">
        <f>X220/F221</f>
        <v>0.8661710037</v>
      </c>
      <c r="Y221" s="35">
        <f t="shared" ref="Y221:AA221" si="649">U221+Y220</f>
        <v>8</v>
      </c>
      <c r="Z221" s="35">
        <f t="shared" si="649"/>
        <v>55</v>
      </c>
      <c r="AA221" s="35">
        <f t="shared" si="649"/>
        <v>1</v>
      </c>
      <c r="AB221" s="63">
        <f>AB220/F221</f>
        <v>0.8698884758</v>
      </c>
      <c r="AC221" s="35">
        <f t="shared" ref="AC221:AE221" si="650">Y221+AC220</f>
        <v>8</v>
      </c>
      <c r="AD221" s="35">
        <f t="shared" si="650"/>
        <v>59</v>
      </c>
      <c r="AE221" s="35">
        <f t="shared" si="650"/>
        <v>1</v>
      </c>
      <c r="AF221" s="63">
        <f>AF220/F221</f>
        <v>0.8847583643</v>
      </c>
      <c r="AG221" s="35">
        <f t="shared" ref="AG221:AI221" si="651">AC221+AG220</f>
        <v>9</v>
      </c>
      <c r="AH221" s="35">
        <f t="shared" si="651"/>
        <v>59</v>
      </c>
      <c r="AI221" s="35">
        <f t="shared" si="651"/>
        <v>2</v>
      </c>
      <c r="AJ221" s="63">
        <f>AJ220/F221</f>
        <v>0.8921933086</v>
      </c>
      <c r="AK221" s="35">
        <f t="shared" ref="AK221:AM221" si="652">AG221+AK220</f>
        <v>9</v>
      </c>
      <c r="AL221" s="35">
        <f t="shared" si="652"/>
        <v>59</v>
      </c>
      <c r="AM221" s="35">
        <f t="shared" si="652"/>
        <v>2</v>
      </c>
      <c r="AN221" s="63">
        <f>AN220/F221</f>
        <v>0.8921933086</v>
      </c>
      <c r="AO221" s="35">
        <f t="shared" ref="AO221:AQ221" si="653">AK221+AO220</f>
        <v>9</v>
      </c>
      <c r="AP221" s="35">
        <f t="shared" si="653"/>
        <v>63</v>
      </c>
      <c r="AQ221" s="35">
        <f t="shared" si="653"/>
        <v>3</v>
      </c>
      <c r="AR221" s="63">
        <f>AR220/F221</f>
        <v>0.9107806691</v>
      </c>
      <c r="AS221" s="35">
        <f t="shared" ref="AS221:AU221" si="654">AO221+AS220</f>
        <v>10</v>
      </c>
      <c r="AT221" s="35">
        <f t="shared" si="654"/>
        <v>63</v>
      </c>
      <c r="AU221" s="35">
        <f t="shared" si="654"/>
        <v>3</v>
      </c>
      <c r="AV221" s="63">
        <f>AV220/F221</f>
        <v>0.9144981413</v>
      </c>
      <c r="AW221" s="35">
        <f t="shared" ref="AW221:AY221" si="655">AS221+AW220</f>
        <v>14</v>
      </c>
      <c r="AX221" s="35">
        <f t="shared" si="655"/>
        <v>63</v>
      </c>
      <c r="AY221" s="35">
        <f t="shared" si="655"/>
        <v>3</v>
      </c>
      <c r="AZ221" s="63">
        <f>AZ220/F221</f>
        <v>0.9293680297</v>
      </c>
      <c r="BA221" s="35">
        <f t="shared" ref="BA221:BC221" si="656">AW221+BA220</f>
        <v>14</v>
      </c>
      <c r="BB221" s="35">
        <f t="shared" si="656"/>
        <v>63</v>
      </c>
      <c r="BC221" s="35">
        <f t="shared" si="656"/>
        <v>3</v>
      </c>
      <c r="BD221" s="63">
        <f>BD220/F221</f>
        <v>0.9293680297</v>
      </c>
      <c r="BE221" s="35">
        <f t="shared" ref="BE221:BG221" si="657">BA221+BE220</f>
        <v>14</v>
      </c>
      <c r="BF221" s="35">
        <f t="shared" si="657"/>
        <v>63</v>
      </c>
      <c r="BG221" s="35">
        <f t="shared" si="657"/>
        <v>3</v>
      </c>
      <c r="BH221" s="63">
        <f>BH220/F221</f>
        <v>0.9293680297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50"/>
      <c r="B222" s="50"/>
      <c r="C222" s="50"/>
      <c r="D222" s="50"/>
      <c r="E222" s="50"/>
      <c r="F222" s="50"/>
      <c r="G222" s="50"/>
      <c r="H222" s="65"/>
      <c r="I222" s="65"/>
      <c r="J222" s="65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19" t="s">
        <v>191</v>
      </c>
      <c r="B223" s="35"/>
      <c r="C223" s="35"/>
      <c r="D223" s="35"/>
      <c r="E223" s="35"/>
      <c r="F223" s="35"/>
      <c r="G223" s="63"/>
      <c r="H223" s="39"/>
      <c r="I223" s="39"/>
      <c r="J223" s="39"/>
      <c r="K223" s="35"/>
      <c r="L223" s="35"/>
      <c r="M223" s="35"/>
      <c r="N223" s="35"/>
      <c r="O223" s="35"/>
      <c r="P223" s="39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35"/>
      <c r="B224" s="68" t="s">
        <v>192</v>
      </c>
      <c r="C224" s="35">
        <v>10.0</v>
      </c>
      <c r="D224" s="35">
        <v>10010.0</v>
      </c>
      <c r="E224" s="35">
        <v>61.0</v>
      </c>
      <c r="F224" s="35">
        <f>E224+1</f>
        <v>62</v>
      </c>
      <c r="G224" s="63">
        <f>+BH224/F224</f>
        <v>1.048387097</v>
      </c>
      <c r="H224" s="39">
        <v>57.0</v>
      </c>
      <c r="I224" s="39">
        <f>+H224+J224</f>
        <v>63</v>
      </c>
      <c r="J224" s="73">
        <v>6.0</v>
      </c>
      <c r="K224" s="35">
        <v>2027.0</v>
      </c>
      <c r="L224" s="35">
        <v>2025.0</v>
      </c>
      <c r="M224" s="35"/>
      <c r="N224" s="35"/>
      <c r="O224" s="35"/>
      <c r="P224" s="39">
        <f>SUM(M224:O224)+H224</f>
        <v>57</v>
      </c>
      <c r="Q224" s="35">
        <f t="shared" ref="Q224:S224" si="658">SUM(Q223)</f>
        <v>0</v>
      </c>
      <c r="R224" s="35">
        <f t="shared" si="658"/>
        <v>0</v>
      </c>
      <c r="S224" s="35">
        <f t="shared" si="658"/>
        <v>0</v>
      </c>
      <c r="T224" s="39">
        <f>SUM(P224:S224)</f>
        <v>57</v>
      </c>
      <c r="U224" s="35"/>
      <c r="V224" s="35">
        <f t="shared" ref="V224:W224" si="659">SUM(V223)</f>
        <v>0</v>
      </c>
      <c r="W224" s="35">
        <f t="shared" si="659"/>
        <v>0</v>
      </c>
      <c r="X224" s="39">
        <f>SUM(T224:W224)</f>
        <v>57</v>
      </c>
      <c r="Y224" s="35">
        <f t="shared" ref="Y224:AA224" si="660">SUM(Y223)</f>
        <v>0</v>
      </c>
      <c r="Z224" s="35">
        <f t="shared" si="660"/>
        <v>0</v>
      </c>
      <c r="AA224" s="35">
        <f t="shared" si="660"/>
        <v>0</v>
      </c>
      <c r="AB224" s="39">
        <f>SUM(X224:AA224)</f>
        <v>57</v>
      </c>
      <c r="AC224" s="35">
        <f t="shared" ref="AC224:AE224" si="661">SUM(AC223)</f>
        <v>0</v>
      </c>
      <c r="AD224" s="35">
        <f t="shared" si="661"/>
        <v>0</v>
      </c>
      <c r="AE224" s="35">
        <f t="shared" si="661"/>
        <v>0</v>
      </c>
      <c r="AF224" s="39">
        <f>SUM(AB224:AE224)</f>
        <v>57</v>
      </c>
      <c r="AG224" s="35"/>
      <c r="AH224" s="35">
        <f t="shared" ref="AH224:AI224" si="662">SUM(AH223)</f>
        <v>0</v>
      </c>
      <c r="AI224" s="35">
        <f t="shared" si="662"/>
        <v>0</v>
      </c>
      <c r="AJ224" s="39">
        <f>SUM(AF224:AI224)</f>
        <v>57</v>
      </c>
      <c r="AK224" s="41">
        <v>4.0</v>
      </c>
      <c r="AL224" s="41">
        <v>3.0</v>
      </c>
      <c r="AM224" s="35">
        <f>SUM(AM223)</f>
        <v>0</v>
      </c>
      <c r="AN224" s="39">
        <f>SUM(AJ224:AM224)</f>
        <v>64</v>
      </c>
      <c r="AO224" s="35">
        <f t="shared" ref="AO224:AQ224" si="663">SUM(AO223)</f>
        <v>0</v>
      </c>
      <c r="AP224" s="35">
        <f t="shared" si="663"/>
        <v>0</v>
      </c>
      <c r="AQ224" s="35">
        <f t="shared" si="663"/>
        <v>0</v>
      </c>
      <c r="AR224" s="39">
        <f>SUM(AN224:AQ224)</f>
        <v>64</v>
      </c>
      <c r="AS224" s="41">
        <v>1.0</v>
      </c>
      <c r="AT224" s="35">
        <f t="shared" ref="AT224:AU224" si="664">SUM(AT223)</f>
        <v>0</v>
      </c>
      <c r="AU224" s="35">
        <f t="shared" si="664"/>
        <v>0</v>
      </c>
      <c r="AV224" s="39">
        <f>SUM(AR224:AU224)</f>
        <v>65</v>
      </c>
      <c r="AW224" s="35"/>
      <c r="AX224" s="35">
        <f t="shared" ref="AX224:AY224" si="665">SUM(AX223)</f>
        <v>0</v>
      </c>
      <c r="AY224" s="35">
        <f t="shared" si="665"/>
        <v>0</v>
      </c>
      <c r="AZ224" s="39">
        <f>SUM(AV224:AY224)</f>
        <v>65</v>
      </c>
      <c r="BA224" s="35"/>
      <c r="BB224" s="35"/>
      <c r="BC224" s="35"/>
      <c r="BD224" s="39">
        <f>SUM(AZ224:BC224)</f>
        <v>65</v>
      </c>
      <c r="BE224" s="35"/>
      <c r="BF224" s="35"/>
      <c r="BG224" s="35"/>
      <c r="BH224" s="39">
        <f>SUM(BD224:BG224)</f>
        <v>65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 ht="15.75" customHeight="1">
      <c r="A225" s="16"/>
      <c r="B225" s="35"/>
      <c r="C225" s="35"/>
      <c r="D225" s="35"/>
      <c r="E225" s="35"/>
      <c r="F225" s="35"/>
      <c r="G225" s="35"/>
      <c r="H225" s="39"/>
      <c r="I225" s="39"/>
      <c r="J225" s="39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 ht="15.75" customHeight="1">
      <c r="A226" s="66"/>
      <c r="B226" s="36" t="s">
        <v>35</v>
      </c>
      <c r="C226" s="35">
        <v>1.0</v>
      </c>
      <c r="D226" s="36"/>
      <c r="E226" s="35">
        <f>+E224</f>
        <v>61</v>
      </c>
      <c r="F226" s="35">
        <f>SUM(E224:E225)+1</f>
        <v>62</v>
      </c>
      <c r="G226" s="63">
        <f>+BH224/F226</f>
        <v>1.048387097</v>
      </c>
      <c r="H226" s="39">
        <f>+H224</f>
        <v>57</v>
      </c>
      <c r="I226" s="39">
        <f t="shared" ref="I226:J226" si="666">SUM(I224)</f>
        <v>63</v>
      </c>
      <c r="J226" s="39">
        <f t="shared" si="666"/>
        <v>6</v>
      </c>
      <c r="K226" s="35"/>
      <c r="L226" s="35"/>
      <c r="M226" s="35">
        <f t="shared" ref="M226:O226" si="667">SUM(M224)</f>
        <v>0</v>
      </c>
      <c r="N226" s="35">
        <f t="shared" si="667"/>
        <v>0</v>
      </c>
      <c r="O226" s="35">
        <f t="shared" si="667"/>
        <v>0</v>
      </c>
      <c r="P226" s="63">
        <f>+P224/F226</f>
        <v>0.9193548387</v>
      </c>
      <c r="Q226" s="35">
        <f t="shared" ref="Q226:S226" si="668">+M226+Q224</f>
        <v>0</v>
      </c>
      <c r="R226" s="35">
        <f t="shared" si="668"/>
        <v>0</v>
      </c>
      <c r="S226" s="35">
        <f t="shared" si="668"/>
        <v>0</v>
      </c>
      <c r="T226" s="63">
        <f>+T224/F226</f>
        <v>0.9193548387</v>
      </c>
      <c r="U226" s="35">
        <f t="shared" ref="U226:W226" si="669">+Q226+U224</f>
        <v>0</v>
      </c>
      <c r="V226" s="35">
        <f t="shared" si="669"/>
        <v>0</v>
      </c>
      <c r="W226" s="35">
        <f t="shared" si="669"/>
        <v>0</v>
      </c>
      <c r="X226" s="63">
        <f>+X224/F226</f>
        <v>0.9193548387</v>
      </c>
      <c r="Y226" s="35">
        <f t="shared" ref="Y226:AA226" si="670">+U226+Y224</f>
        <v>0</v>
      </c>
      <c r="Z226" s="35">
        <f t="shared" si="670"/>
        <v>0</v>
      </c>
      <c r="AA226" s="35">
        <f t="shared" si="670"/>
        <v>0</v>
      </c>
      <c r="AB226" s="63">
        <f>+AB224/F226</f>
        <v>0.9193548387</v>
      </c>
      <c r="AC226" s="35">
        <f t="shared" ref="AC226:AE226" si="671">+Y226+AC224</f>
        <v>0</v>
      </c>
      <c r="AD226" s="35">
        <f t="shared" si="671"/>
        <v>0</v>
      </c>
      <c r="AE226" s="35">
        <f t="shared" si="671"/>
        <v>0</v>
      </c>
      <c r="AF226" s="63">
        <f>+AF224/F226</f>
        <v>0.9193548387</v>
      </c>
      <c r="AG226" s="35">
        <f t="shared" ref="AG226:AI226" si="672">+AC226+AG224</f>
        <v>0</v>
      </c>
      <c r="AH226" s="35">
        <f t="shared" si="672"/>
        <v>0</v>
      </c>
      <c r="AI226" s="35">
        <f t="shared" si="672"/>
        <v>0</v>
      </c>
      <c r="AJ226" s="63">
        <f>+AJ224/F226</f>
        <v>0.9193548387</v>
      </c>
      <c r="AK226" s="35">
        <f t="shared" ref="AK226:AM226" si="673">+AG226+AK224</f>
        <v>4</v>
      </c>
      <c r="AL226" s="35">
        <f t="shared" si="673"/>
        <v>3</v>
      </c>
      <c r="AM226" s="35">
        <f t="shared" si="673"/>
        <v>0</v>
      </c>
      <c r="AN226" s="63">
        <f>+AN224/F226</f>
        <v>1.032258065</v>
      </c>
      <c r="AO226" s="35">
        <f t="shared" ref="AO226:AQ226" si="674">+AK226+AO224</f>
        <v>4</v>
      </c>
      <c r="AP226" s="35">
        <f t="shared" si="674"/>
        <v>3</v>
      </c>
      <c r="AQ226" s="35">
        <f t="shared" si="674"/>
        <v>0</v>
      </c>
      <c r="AR226" s="63">
        <f>+AR224/F226</f>
        <v>1.032258065</v>
      </c>
      <c r="AS226" s="35">
        <f t="shared" ref="AS226:AU226" si="675">+AO226+AS224</f>
        <v>5</v>
      </c>
      <c r="AT226" s="35">
        <f t="shared" si="675"/>
        <v>3</v>
      </c>
      <c r="AU226" s="35">
        <f t="shared" si="675"/>
        <v>0</v>
      </c>
      <c r="AV226" s="63">
        <f>+AV224/F226</f>
        <v>1.048387097</v>
      </c>
      <c r="AW226" s="35">
        <f t="shared" ref="AW226:AY226" si="676">+AS226+AW224</f>
        <v>5</v>
      </c>
      <c r="AX226" s="35">
        <f t="shared" si="676"/>
        <v>3</v>
      </c>
      <c r="AY226" s="35">
        <f t="shared" si="676"/>
        <v>0</v>
      </c>
      <c r="AZ226" s="63">
        <f>+AZ224/F226</f>
        <v>1.048387097</v>
      </c>
      <c r="BA226" s="35">
        <f t="shared" ref="BA226:BC226" si="677">+AW226+BA224</f>
        <v>5</v>
      </c>
      <c r="BB226" s="35">
        <f t="shared" si="677"/>
        <v>3</v>
      </c>
      <c r="BC226" s="35">
        <f t="shared" si="677"/>
        <v>0</v>
      </c>
      <c r="BD226" s="63">
        <f>+BD224/F226</f>
        <v>1.048387097</v>
      </c>
      <c r="BE226" s="35">
        <v>3.0</v>
      </c>
      <c r="BF226" s="35">
        <v>0.0</v>
      </c>
      <c r="BG226" s="35">
        <v>0.0</v>
      </c>
      <c r="BH226" s="63">
        <f>+BH224/F226</f>
        <v>1.048387097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27"/>
      <c r="B227" s="24"/>
      <c r="C227" s="24"/>
      <c r="D227" s="24"/>
      <c r="E227" s="24"/>
      <c r="F227" s="24"/>
      <c r="G227" s="28"/>
      <c r="H227" s="23"/>
      <c r="I227" s="23"/>
      <c r="J227" s="23"/>
      <c r="K227" s="24"/>
      <c r="L227" s="21"/>
      <c r="M227" s="24"/>
      <c r="N227" s="24"/>
      <c r="O227" s="24"/>
      <c r="P227" s="23"/>
      <c r="Q227" s="24"/>
      <c r="R227" s="24"/>
      <c r="S227" s="24"/>
      <c r="T227" s="21"/>
      <c r="U227" s="24"/>
      <c r="V227" s="24"/>
      <c r="W227" s="24"/>
      <c r="X227" s="21"/>
      <c r="Y227" s="24"/>
      <c r="Z227" s="24"/>
      <c r="AA227" s="24"/>
      <c r="AB227" s="21"/>
      <c r="AC227" s="24"/>
      <c r="AD227" s="24"/>
      <c r="AE227" s="24"/>
      <c r="AF227" s="21"/>
      <c r="AG227" s="24"/>
      <c r="AH227" s="24"/>
      <c r="AI227" s="24"/>
      <c r="AJ227" s="21"/>
      <c r="AK227" s="24"/>
      <c r="AL227" s="24"/>
      <c r="AM227" s="24"/>
      <c r="AN227" s="21"/>
      <c r="AO227" s="24"/>
      <c r="AP227" s="24"/>
      <c r="AQ227" s="24"/>
      <c r="AR227" s="21"/>
      <c r="AS227" s="24"/>
      <c r="AT227" s="24"/>
      <c r="AU227" s="24"/>
      <c r="AV227" s="21"/>
      <c r="AW227" s="24"/>
      <c r="AX227" s="24"/>
      <c r="AY227" s="24"/>
      <c r="AZ227" s="21"/>
      <c r="BA227" s="24"/>
      <c r="BB227" s="24"/>
      <c r="BC227" s="24"/>
      <c r="BD227" s="21"/>
      <c r="BE227" s="24"/>
      <c r="BF227" s="24"/>
      <c r="BG227" s="24"/>
      <c r="BH227" s="21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7" t="s">
        <v>193</v>
      </c>
      <c r="B228" s="24"/>
      <c r="C228" s="24"/>
      <c r="D228" s="24"/>
      <c r="E228" s="24"/>
      <c r="F228" s="24"/>
      <c r="G228" s="28"/>
      <c r="H228" s="23"/>
      <c r="I228" s="23"/>
      <c r="J228" s="23"/>
      <c r="K228" s="24">
        <v>2027.0</v>
      </c>
      <c r="L228" s="21">
        <v>2025.0</v>
      </c>
      <c r="M228" s="24"/>
      <c r="N228" s="24"/>
      <c r="O228" s="24"/>
      <c r="P228" s="23" t="str">
        <f>+H228</f>
        <v/>
      </c>
      <c r="Q228" s="24"/>
      <c r="R228" s="24"/>
      <c r="S228" s="24"/>
      <c r="T228" s="25">
        <f t="shared" ref="T228:T231" si="678">SUM(P228:S228)</f>
        <v>0</v>
      </c>
      <c r="U228" s="24"/>
      <c r="V228" s="24"/>
      <c r="W228" s="24"/>
      <c r="X228" s="25">
        <f t="shared" ref="X228:X231" si="679">SUM(T228:W228)</f>
        <v>0</v>
      </c>
      <c r="Y228" s="24"/>
      <c r="Z228" s="24"/>
      <c r="AA228" s="24"/>
      <c r="AB228" s="25">
        <f t="shared" ref="AB228:AB231" si="680">SUM(X228:AA228)</f>
        <v>0</v>
      </c>
      <c r="AC228" s="24"/>
      <c r="AD228" s="24"/>
      <c r="AE228" s="24"/>
      <c r="AF228" s="25">
        <f t="shared" ref="AF228:AF231" si="681">SUM(AB228:AE228)</f>
        <v>0</v>
      </c>
      <c r="AG228" s="24"/>
      <c r="AH228" s="24"/>
      <c r="AI228" s="24"/>
      <c r="AJ228" s="25">
        <f t="shared" ref="AJ228:AJ231" si="682">SUM(AF228:AI228)</f>
        <v>0</v>
      </c>
      <c r="AK228" s="24"/>
      <c r="AL228" s="24"/>
      <c r="AM228" s="24"/>
      <c r="AN228" s="25">
        <f t="shared" ref="AN228:AN231" si="683">SUM(AJ228:AM228)</f>
        <v>0</v>
      </c>
      <c r="AO228" s="24"/>
      <c r="AP228" s="24"/>
      <c r="AQ228" s="24"/>
      <c r="AR228" s="25">
        <f t="shared" ref="AR228:AR231" si="684">SUM(AN228:AQ228)</f>
        <v>0</v>
      </c>
      <c r="AS228" s="24"/>
      <c r="AT228" s="24"/>
      <c r="AU228" s="24"/>
      <c r="AV228" s="25">
        <f t="shared" ref="AV228:AV231" si="685">SUM(AR228:AU228)</f>
        <v>0</v>
      </c>
      <c r="AW228" s="24"/>
      <c r="AX228" s="24"/>
      <c r="AY228" s="24"/>
      <c r="AZ228" s="25">
        <f t="shared" ref="AZ228:AZ231" si="686">SUM(AV228:AY228)</f>
        <v>0</v>
      </c>
      <c r="BA228" s="24"/>
      <c r="BB228" s="24"/>
      <c r="BC228" s="24"/>
      <c r="BD228" s="25">
        <f t="shared" ref="BD228:BD231" si="687">SUM(AZ228:BC228)</f>
        <v>0</v>
      </c>
      <c r="BE228" s="24"/>
      <c r="BF228" s="24"/>
      <c r="BG228" s="24"/>
      <c r="BH228" s="25">
        <f t="shared" ref="BH228:BH231" si="688">SUM(BD228:BG228)</f>
        <v>0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35"/>
      <c r="B229" s="120" t="s">
        <v>194</v>
      </c>
      <c r="C229" s="121">
        <v>4.0</v>
      </c>
      <c r="D229" s="121" t="s">
        <v>73</v>
      </c>
      <c r="E229" s="121">
        <v>35.0</v>
      </c>
      <c r="F229" s="35">
        <f t="shared" ref="F229:F231" si="689">E229+1</f>
        <v>36</v>
      </c>
      <c r="G229" s="37">
        <f t="shared" ref="G229:G231" si="690">$BH229/F229</f>
        <v>1.027777778</v>
      </c>
      <c r="H229" s="38">
        <v>19.0</v>
      </c>
      <c r="I229" s="38">
        <f t="shared" ref="I229:I231" si="691">+H229+J229</f>
        <v>21</v>
      </c>
      <c r="J229" s="73">
        <v>2.0</v>
      </c>
      <c r="K229" s="24">
        <v>2027.0</v>
      </c>
      <c r="L229" s="21">
        <v>2025.0</v>
      </c>
      <c r="M229" s="35"/>
      <c r="N229" s="35"/>
      <c r="O229" s="35"/>
      <c r="P229" s="39">
        <f t="shared" ref="P229:P231" si="692">SUM(M229:O229)+H229</f>
        <v>19</v>
      </c>
      <c r="Q229" s="35"/>
      <c r="R229" s="35"/>
      <c r="S229" s="35"/>
      <c r="T229" s="39">
        <f t="shared" si="678"/>
        <v>19</v>
      </c>
      <c r="U229" s="35">
        <v>7.0</v>
      </c>
      <c r="V229" s="35"/>
      <c r="W229" s="35"/>
      <c r="X229" s="39">
        <f t="shared" si="679"/>
        <v>26</v>
      </c>
      <c r="Y229" s="35"/>
      <c r="Z229" s="35"/>
      <c r="AA229" s="35"/>
      <c r="AB229" s="39">
        <f t="shared" si="680"/>
        <v>26</v>
      </c>
      <c r="AC229" s="35"/>
      <c r="AD229" s="41">
        <v>2.0</v>
      </c>
      <c r="AE229" s="35"/>
      <c r="AF229" s="39">
        <f t="shared" si="681"/>
        <v>28</v>
      </c>
      <c r="AG229" s="35"/>
      <c r="AH229" s="35">
        <v>3.0</v>
      </c>
      <c r="AI229" s="35"/>
      <c r="AJ229" s="39">
        <f t="shared" si="682"/>
        <v>31</v>
      </c>
      <c r="AK229" s="35"/>
      <c r="AL229" s="41">
        <v>1.0</v>
      </c>
      <c r="AM229" s="35"/>
      <c r="AN229" s="39">
        <f t="shared" si="683"/>
        <v>32</v>
      </c>
      <c r="AO229" s="35"/>
      <c r="AP229" s="41">
        <v>1.0</v>
      </c>
      <c r="AQ229" s="35"/>
      <c r="AR229" s="39">
        <f t="shared" si="684"/>
        <v>33</v>
      </c>
      <c r="AS229" s="35"/>
      <c r="AT229" s="41">
        <v>1.0</v>
      </c>
      <c r="AU229" s="35"/>
      <c r="AV229" s="39">
        <f t="shared" si="685"/>
        <v>34</v>
      </c>
      <c r="AW229" s="35"/>
      <c r="AX229" s="35"/>
      <c r="AY229" s="35"/>
      <c r="AZ229" s="39">
        <f t="shared" si="686"/>
        <v>34</v>
      </c>
      <c r="BA229" s="35"/>
      <c r="BB229" s="41">
        <v>3.0</v>
      </c>
      <c r="BC229" s="35"/>
      <c r="BD229" s="39">
        <f t="shared" si="687"/>
        <v>37</v>
      </c>
      <c r="BE229" s="35"/>
      <c r="BF229" s="35"/>
      <c r="BG229" s="35"/>
      <c r="BH229" s="39">
        <f t="shared" si="688"/>
        <v>37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35"/>
      <c r="B230" s="60" t="s">
        <v>195</v>
      </c>
      <c r="C230" s="21">
        <v>7.0</v>
      </c>
      <c r="D230" s="21">
        <v>1504.0</v>
      </c>
      <c r="E230" s="21">
        <v>34.0</v>
      </c>
      <c r="F230" s="35">
        <f t="shared" si="689"/>
        <v>35</v>
      </c>
      <c r="G230" s="37">
        <f t="shared" si="690"/>
        <v>1</v>
      </c>
      <c r="H230" s="23">
        <v>32.0</v>
      </c>
      <c r="I230" s="23">
        <f t="shared" si="691"/>
        <v>32</v>
      </c>
      <c r="J230" s="25"/>
      <c r="K230" s="24">
        <v>2027.0</v>
      </c>
      <c r="L230" s="21">
        <v>2025.0</v>
      </c>
      <c r="M230" s="21"/>
      <c r="N230" s="21"/>
      <c r="O230" s="21"/>
      <c r="P230" s="25">
        <f t="shared" si="692"/>
        <v>32</v>
      </c>
      <c r="Q230" s="21"/>
      <c r="R230" s="21"/>
      <c r="S230" s="21"/>
      <c r="T230" s="25">
        <f t="shared" si="678"/>
        <v>32</v>
      </c>
      <c r="U230" s="21"/>
      <c r="V230" s="21"/>
      <c r="W230" s="21"/>
      <c r="X230" s="25">
        <f t="shared" si="679"/>
        <v>32</v>
      </c>
      <c r="Y230" s="21"/>
      <c r="Z230" s="21"/>
      <c r="AA230" s="21"/>
      <c r="AB230" s="25">
        <f t="shared" si="680"/>
        <v>32</v>
      </c>
      <c r="AC230" s="21"/>
      <c r="AD230" s="21"/>
      <c r="AE230" s="21"/>
      <c r="AF230" s="25">
        <f t="shared" si="681"/>
        <v>32</v>
      </c>
      <c r="AG230" s="21"/>
      <c r="AH230" s="21"/>
      <c r="AI230" s="21"/>
      <c r="AJ230" s="25">
        <f t="shared" si="682"/>
        <v>32</v>
      </c>
      <c r="AK230" s="21"/>
      <c r="AL230" s="21"/>
      <c r="AM230" s="21"/>
      <c r="AN230" s="25">
        <f t="shared" si="683"/>
        <v>32</v>
      </c>
      <c r="AO230" s="21"/>
      <c r="AP230" s="21"/>
      <c r="AQ230" s="21"/>
      <c r="AR230" s="25">
        <f t="shared" si="684"/>
        <v>32</v>
      </c>
      <c r="AS230" s="21"/>
      <c r="AT230" s="21"/>
      <c r="AU230" s="21"/>
      <c r="AV230" s="25">
        <f t="shared" si="685"/>
        <v>32</v>
      </c>
      <c r="AW230" s="21"/>
      <c r="AX230" s="21"/>
      <c r="AY230" s="21"/>
      <c r="AZ230" s="25">
        <f t="shared" si="686"/>
        <v>32</v>
      </c>
      <c r="BA230" s="18">
        <v>2.0</v>
      </c>
      <c r="BB230" s="21"/>
      <c r="BC230" s="18">
        <v>1.0</v>
      </c>
      <c r="BD230" s="25">
        <f t="shared" si="687"/>
        <v>35</v>
      </c>
      <c r="BE230" s="21"/>
      <c r="BF230" s="21"/>
      <c r="BG230" s="21"/>
      <c r="BH230" s="25">
        <f t="shared" si="688"/>
        <v>35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196</v>
      </c>
      <c r="C231" s="21">
        <v>10.0</v>
      </c>
      <c r="D231" s="21">
        <v>2503.0</v>
      </c>
      <c r="E231" s="21">
        <v>32.0</v>
      </c>
      <c r="F231" s="35">
        <f t="shared" si="689"/>
        <v>33</v>
      </c>
      <c r="G231" s="37">
        <f t="shared" si="690"/>
        <v>1.03030303</v>
      </c>
      <c r="H231" s="23">
        <v>28.0</v>
      </c>
      <c r="I231" s="23">
        <f t="shared" si="691"/>
        <v>28</v>
      </c>
      <c r="J231" s="25"/>
      <c r="K231" s="24">
        <v>2027.0</v>
      </c>
      <c r="L231" s="21">
        <v>2025.0</v>
      </c>
      <c r="M231" s="21"/>
      <c r="N231" s="21"/>
      <c r="O231" s="21"/>
      <c r="P231" s="25">
        <f t="shared" si="692"/>
        <v>28</v>
      </c>
      <c r="Q231" s="21"/>
      <c r="R231" s="21"/>
      <c r="S231" s="21"/>
      <c r="T231" s="25">
        <f t="shared" si="678"/>
        <v>28</v>
      </c>
      <c r="U231" s="21"/>
      <c r="V231" s="21"/>
      <c r="W231" s="21"/>
      <c r="X231" s="25">
        <f t="shared" si="679"/>
        <v>28</v>
      </c>
      <c r="Y231" s="21"/>
      <c r="Z231" s="21"/>
      <c r="AA231" s="21"/>
      <c r="AB231" s="25">
        <f t="shared" si="680"/>
        <v>28</v>
      </c>
      <c r="AC231" s="21"/>
      <c r="AD231" s="21"/>
      <c r="AE231" s="21"/>
      <c r="AF231" s="25">
        <f t="shared" si="681"/>
        <v>28</v>
      </c>
      <c r="AG231" s="21"/>
      <c r="AH231" s="21"/>
      <c r="AI231" s="21"/>
      <c r="AJ231" s="25">
        <f t="shared" si="682"/>
        <v>28</v>
      </c>
      <c r="AK231" s="21"/>
      <c r="AL231" s="21"/>
      <c r="AM231" s="21"/>
      <c r="AN231" s="25">
        <f t="shared" si="683"/>
        <v>28</v>
      </c>
      <c r="AO231" s="21"/>
      <c r="AP231" s="21"/>
      <c r="AQ231" s="21"/>
      <c r="AR231" s="25">
        <f t="shared" si="684"/>
        <v>28</v>
      </c>
      <c r="AS231" s="21"/>
      <c r="AT231" s="21"/>
      <c r="AU231" s="21"/>
      <c r="AV231" s="25">
        <f t="shared" si="685"/>
        <v>28</v>
      </c>
      <c r="AW231" s="21"/>
      <c r="AX231" s="21"/>
      <c r="AY231" s="21"/>
      <c r="AZ231" s="25">
        <f t="shared" si="686"/>
        <v>28</v>
      </c>
      <c r="BA231" s="18">
        <v>4.0</v>
      </c>
      <c r="BB231" s="18">
        <v>1.0</v>
      </c>
      <c r="BC231" s="21"/>
      <c r="BD231" s="25">
        <f t="shared" si="687"/>
        <v>33</v>
      </c>
      <c r="BE231" s="21"/>
      <c r="BF231" s="18">
        <v>1.0</v>
      </c>
      <c r="BG231" s="21"/>
      <c r="BH231" s="25">
        <f t="shared" si="688"/>
        <v>34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21"/>
      <c r="B232" s="21"/>
      <c r="C232" s="21"/>
      <c r="D232" s="21"/>
      <c r="E232" s="21"/>
      <c r="F232" s="21"/>
      <c r="G232" s="21"/>
      <c r="H232" s="25"/>
      <c r="I232" s="23"/>
      <c r="J232" s="25"/>
      <c r="K232" s="21"/>
      <c r="L232" s="21"/>
      <c r="M232" s="25">
        <f t="shared" ref="M232:BH232" si="693">SUM(M228:M231)</f>
        <v>0</v>
      </c>
      <c r="N232" s="25">
        <f t="shared" si="693"/>
        <v>0</v>
      </c>
      <c r="O232" s="25">
        <f t="shared" si="693"/>
        <v>0</v>
      </c>
      <c r="P232" s="25">
        <f t="shared" si="693"/>
        <v>79</v>
      </c>
      <c r="Q232" s="25">
        <f t="shared" si="693"/>
        <v>0</v>
      </c>
      <c r="R232" s="25">
        <f t="shared" si="693"/>
        <v>0</v>
      </c>
      <c r="S232" s="25">
        <f t="shared" si="693"/>
        <v>0</v>
      </c>
      <c r="T232" s="25">
        <f t="shared" si="693"/>
        <v>79</v>
      </c>
      <c r="U232" s="25">
        <f t="shared" si="693"/>
        <v>7</v>
      </c>
      <c r="V232" s="25">
        <f t="shared" si="693"/>
        <v>0</v>
      </c>
      <c r="W232" s="25">
        <f t="shared" si="693"/>
        <v>0</v>
      </c>
      <c r="X232" s="25">
        <f t="shared" si="693"/>
        <v>86</v>
      </c>
      <c r="Y232" s="25">
        <f t="shared" si="693"/>
        <v>0</v>
      </c>
      <c r="Z232" s="25">
        <f t="shared" si="693"/>
        <v>0</v>
      </c>
      <c r="AA232" s="25">
        <f t="shared" si="693"/>
        <v>0</v>
      </c>
      <c r="AB232" s="25">
        <f t="shared" si="693"/>
        <v>86</v>
      </c>
      <c r="AC232" s="25">
        <f t="shared" si="693"/>
        <v>0</v>
      </c>
      <c r="AD232" s="25">
        <f t="shared" si="693"/>
        <v>2</v>
      </c>
      <c r="AE232" s="25">
        <f t="shared" si="693"/>
        <v>0</v>
      </c>
      <c r="AF232" s="25">
        <f t="shared" si="693"/>
        <v>88</v>
      </c>
      <c r="AG232" s="25">
        <f t="shared" si="693"/>
        <v>0</v>
      </c>
      <c r="AH232" s="25">
        <f t="shared" si="693"/>
        <v>3</v>
      </c>
      <c r="AI232" s="25">
        <f t="shared" si="693"/>
        <v>0</v>
      </c>
      <c r="AJ232" s="25">
        <f t="shared" si="693"/>
        <v>91</v>
      </c>
      <c r="AK232" s="25">
        <f t="shared" si="693"/>
        <v>0</v>
      </c>
      <c r="AL232" s="25">
        <f t="shared" si="693"/>
        <v>1</v>
      </c>
      <c r="AM232" s="25">
        <f t="shared" si="693"/>
        <v>0</v>
      </c>
      <c r="AN232" s="25">
        <f t="shared" si="693"/>
        <v>92</v>
      </c>
      <c r="AO232" s="25">
        <f t="shared" si="693"/>
        <v>0</v>
      </c>
      <c r="AP232" s="25">
        <f t="shared" si="693"/>
        <v>1</v>
      </c>
      <c r="AQ232" s="25">
        <f t="shared" si="693"/>
        <v>0</v>
      </c>
      <c r="AR232" s="25">
        <f t="shared" si="693"/>
        <v>93</v>
      </c>
      <c r="AS232" s="25">
        <f t="shared" si="693"/>
        <v>0</v>
      </c>
      <c r="AT232" s="25">
        <f t="shared" si="693"/>
        <v>1</v>
      </c>
      <c r="AU232" s="25">
        <f t="shared" si="693"/>
        <v>0</v>
      </c>
      <c r="AV232" s="25">
        <f t="shared" si="693"/>
        <v>94</v>
      </c>
      <c r="AW232" s="25">
        <f t="shared" si="693"/>
        <v>0</v>
      </c>
      <c r="AX232" s="25">
        <f t="shared" si="693"/>
        <v>0</v>
      </c>
      <c r="AY232" s="25">
        <f t="shared" si="693"/>
        <v>0</v>
      </c>
      <c r="AZ232" s="25">
        <f t="shared" si="693"/>
        <v>94</v>
      </c>
      <c r="BA232" s="25">
        <f t="shared" si="693"/>
        <v>6</v>
      </c>
      <c r="BB232" s="25">
        <f t="shared" si="693"/>
        <v>4</v>
      </c>
      <c r="BC232" s="25">
        <f t="shared" si="693"/>
        <v>1</v>
      </c>
      <c r="BD232" s="25">
        <f t="shared" si="693"/>
        <v>105</v>
      </c>
      <c r="BE232" s="25">
        <f t="shared" si="693"/>
        <v>0</v>
      </c>
      <c r="BF232" s="25">
        <f t="shared" si="693"/>
        <v>1</v>
      </c>
      <c r="BG232" s="25">
        <f t="shared" si="693"/>
        <v>0</v>
      </c>
      <c r="BH232" s="25">
        <f t="shared" si="693"/>
        <v>106</v>
      </c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21"/>
      <c r="B233" s="21" t="s">
        <v>35</v>
      </c>
      <c r="C233" s="21">
        <f>COUNT(C225:C231)</f>
        <v>4</v>
      </c>
      <c r="D233" s="21"/>
      <c r="E233" s="21">
        <f>SUM(E228:E231)</f>
        <v>101</v>
      </c>
      <c r="F233" s="21">
        <f>SUM(E228:E231)+1</f>
        <v>102</v>
      </c>
      <c r="G233" s="22">
        <f>$BH232/F233</f>
        <v>1.039215686</v>
      </c>
      <c r="H233" s="25">
        <f t="shared" ref="H233:J233" si="694">SUM(H228:H231)</f>
        <v>79</v>
      </c>
      <c r="I233" s="25">
        <f t="shared" si="694"/>
        <v>81</v>
      </c>
      <c r="J233" s="25">
        <f t="shared" si="694"/>
        <v>2</v>
      </c>
      <c r="K233" s="21"/>
      <c r="L233" s="21"/>
      <c r="M233" s="21"/>
      <c r="N233" s="21"/>
      <c r="O233" s="21"/>
      <c r="P233" s="22">
        <f>P232/F233</f>
        <v>0.7745098039</v>
      </c>
      <c r="Q233" s="25">
        <f t="shared" ref="Q233:S233" si="695">M232+Q232</f>
        <v>0</v>
      </c>
      <c r="R233" s="25">
        <f t="shared" si="695"/>
        <v>0</v>
      </c>
      <c r="S233" s="25">
        <f t="shared" si="695"/>
        <v>0</v>
      </c>
      <c r="T233" s="22">
        <f>T232/F233</f>
        <v>0.7745098039</v>
      </c>
      <c r="U233" s="25">
        <f t="shared" ref="U233:W233" si="696">Q233+U232</f>
        <v>7</v>
      </c>
      <c r="V233" s="25">
        <f t="shared" si="696"/>
        <v>0</v>
      </c>
      <c r="W233" s="25">
        <f t="shared" si="696"/>
        <v>0</v>
      </c>
      <c r="X233" s="22">
        <f>X232/F233</f>
        <v>0.8431372549</v>
      </c>
      <c r="Y233" s="25">
        <f t="shared" ref="Y233:AA233" si="697">U233+Y232</f>
        <v>7</v>
      </c>
      <c r="Z233" s="25">
        <f t="shared" si="697"/>
        <v>0</v>
      </c>
      <c r="AA233" s="25">
        <f t="shared" si="697"/>
        <v>0</v>
      </c>
      <c r="AB233" s="22">
        <f>AB232/F233</f>
        <v>0.8431372549</v>
      </c>
      <c r="AC233" s="25">
        <f t="shared" ref="AC233:AE233" si="698">Y233+AC232</f>
        <v>7</v>
      </c>
      <c r="AD233" s="25">
        <f t="shared" si="698"/>
        <v>2</v>
      </c>
      <c r="AE233" s="25">
        <f t="shared" si="698"/>
        <v>0</v>
      </c>
      <c r="AF233" s="22">
        <f>AF232/F233</f>
        <v>0.862745098</v>
      </c>
      <c r="AG233" s="25">
        <f t="shared" ref="AG233:AI233" si="699">AC233+AG232</f>
        <v>7</v>
      </c>
      <c r="AH233" s="25">
        <f t="shared" si="699"/>
        <v>5</v>
      </c>
      <c r="AI233" s="25">
        <f t="shared" si="699"/>
        <v>0</v>
      </c>
      <c r="AJ233" s="22">
        <f>AJ232/F233</f>
        <v>0.8921568627</v>
      </c>
      <c r="AK233" s="25">
        <f t="shared" ref="AK233:AM233" si="700">AG233+AK232</f>
        <v>7</v>
      </c>
      <c r="AL233" s="25">
        <f t="shared" si="700"/>
        <v>6</v>
      </c>
      <c r="AM233" s="25">
        <f t="shared" si="700"/>
        <v>0</v>
      </c>
      <c r="AN233" s="22">
        <f>AN232/F233</f>
        <v>0.9019607843</v>
      </c>
      <c r="AO233" s="25">
        <f t="shared" ref="AO233:AQ233" si="701">AK233+AO232</f>
        <v>7</v>
      </c>
      <c r="AP233" s="25">
        <f t="shared" si="701"/>
        <v>7</v>
      </c>
      <c r="AQ233" s="25">
        <f t="shared" si="701"/>
        <v>0</v>
      </c>
      <c r="AR233" s="22">
        <f>AR232/F233</f>
        <v>0.9117647059</v>
      </c>
      <c r="AS233" s="25">
        <f t="shared" ref="AS233:AU233" si="702">AO233+AS232</f>
        <v>7</v>
      </c>
      <c r="AT233" s="25">
        <f t="shared" si="702"/>
        <v>8</v>
      </c>
      <c r="AU233" s="25">
        <f t="shared" si="702"/>
        <v>0</v>
      </c>
      <c r="AV233" s="22">
        <f>AV232/F233</f>
        <v>0.9215686275</v>
      </c>
      <c r="AW233" s="25">
        <f t="shared" ref="AW233:AY233" si="703">AS233+AW232</f>
        <v>7</v>
      </c>
      <c r="AX233" s="25">
        <f t="shared" si="703"/>
        <v>8</v>
      </c>
      <c r="AY233" s="25">
        <f t="shared" si="703"/>
        <v>0</v>
      </c>
      <c r="AZ233" s="22">
        <f>AZ232/F233</f>
        <v>0.9215686275</v>
      </c>
      <c r="BA233" s="25">
        <f t="shared" ref="BA233:BC233" si="704">AW233+BA232</f>
        <v>13</v>
      </c>
      <c r="BB233" s="25">
        <f t="shared" si="704"/>
        <v>12</v>
      </c>
      <c r="BC233" s="25">
        <f t="shared" si="704"/>
        <v>1</v>
      </c>
      <c r="BD233" s="22">
        <f>BD232/F233</f>
        <v>1.029411765</v>
      </c>
      <c r="BE233" s="25">
        <f t="shared" ref="BE233:BG233" si="705">BA233+BE232</f>
        <v>13</v>
      </c>
      <c r="BF233" s="25">
        <f t="shared" si="705"/>
        <v>13</v>
      </c>
      <c r="BG233" s="25">
        <f t="shared" si="705"/>
        <v>1</v>
      </c>
      <c r="BH233" s="22">
        <f>BH232/F233</f>
        <v>1.039215686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16"/>
      <c r="C234" s="16"/>
      <c r="D234" s="16"/>
      <c r="E234" s="16"/>
      <c r="F234" s="16"/>
      <c r="G234" s="16"/>
      <c r="H234" s="31"/>
      <c r="I234" s="23"/>
      <c r="J234" s="3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2" t="s">
        <v>197</v>
      </c>
      <c r="B235" s="21"/>
      <c r="C235" s="21"/>
      <c r="D235" s="21"/>
      <c r="E235" s="21"/>
      <c r="F235" s="21"/>
      <c r="G235" s="22"/>
      <c r="H235" s="25"/>
      <c r="I235" s="23"/>
      <c r="J235" s="25"/>
      <c r="K235" s="21"/>
      <c r="L235" s="21"/>
      <c r="M235" s="21"/>
      <c r="N235" s="21"/>
      <c r="O235" s="21"/>
      <c r="P235" s="25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122" t="s">
        <v>198</v>
      </c>
      <c r="C236" s="35">
        <v>2.0</v>
      </c>
      <c r="D236" s="36">
        <v>10047.0</v>
      </c>
      <c r="E236" s="35">
        <v>48.0</v>
      </c>
      <c r="F236" s="35">
        <f>E236+1</f>
        <v>49</v>
      </c>
      <c r="G236" s="63">
        <f>$BH236/F236</f>
        <v>1</v>
      </c>
      <c r="H236" s="39">
        <v>44.0</v>
      </c>
      <c r="I236" s="38">
        <f>+H236+J236</f>
        <v>45</v>
      </c>
      <c r="J236" s="39">
        <v>1.0</v>
      </c>
      <c r="K236" s="35">
        <v>2027.0</v>
      </c>
      <c r="L236" s="35">
        <v>2025.0</v>
      </c>
      <c r="M236" s="35"/>
      <c r="N236" s="35"/>
      <c r="O236" s="35"/>
      <c r="P236" s="39">
        <f>SUM(M236:O236)+H236</f>
        <v>44</v>
      </c>
      <c r="Q236" s="35"/>
      <c r="R236" s="35"/>
      <c r="S236" s="35"/>
      <c r="T236" s="39">
        <f>SUM(P236:S236)</f>
        <v>44</v>
      </c>
      <c r="U236" s="35"/>
      <c r="V236" s="35"/>
      <c r="W236" s="35"/>
      <c r="X236" s="39">
        <f>SUM(T236:W236)</f>
        <v>44</v>
      </c>
      <c r="Y236" s="35"/>
      <c r="Z236" s="35"/>
      <c r="AA236" s="35"/>
      <c r="AB236" s="39">
        <f>SUM(X236:AA236)</f>
        <v>44</v>
      </c>
      <c r="AC236" s="35"/>
      <c r="AD236" s="35"/>
      <c r="AE236" s="35"/>
      <c r="AF236" s="39">
        <f>SUM(AB236:AE236)</f>
        <v>44</v>
      </c>
      <c r="AG236" s="35"/>
      <c r="AH236" s="35"/>
      <c r="AI236" s="35"/>
      <c r="AJ236" s="39">
        <f>SUM(AF236:AI236)</f>
        <v>44</v>
      </c>
      <c r="AK236" s="35"/>
      <c r="AL236" s="35"/>
      <c r="AM236" s="35"/>
      <c r="AN236" s="39">
        <f>SUM(AJ236:AM236)</f>
        <v>44</v>
      </c>
      <c r="AO236" s="35"/>
      <c r="AP236" s="35"/>
      <c r="AQ236" s="35"/>
      <c r="AR236" s="39">
        <f>SUM(AN236:AQ236)</f>
        <v>44</v>
      </c>
      <c r="AS236" s="41">
        <v>1.0</v>
      </c>
      <c r="AT236" s="41">
        <v>2.0</v>
      </c>
      <c r="AU236" s="35"/>
      <c r="AV236" s="39">
        <f>SUM(AR236:AU236)</f>
        <v>47</v>
      </c>
      <c r="AW236" s="41"/>
      <c r="AX236" s="41"/>
      <c r="AY236" s="35"/>
      <c r="AZ236" s="39">
        <f>SUM(AV236:AY236)</f>
        <v>47</v>
      </c>
      <c r="BA236" s="41">
        <v>1.0</v>
      </c>
      <c r="BB236" s="41"/>
      <c r="BC236" s="41">
        <v>1.0</v>
      </c>
      <c r="BD236" s="39">
        <f>SUM(AZ236:BC236)</f>
        <v>49</v>
      </c>
      <c r="BE236" s="35"/>
      <c r="BF236" s="35"/>
      <c r="BG236" s="35"/>
      <c r="BH236" s="39">
        <f>SUM(BD236:BG236)</f>
        <v>49</v>
      </c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6"/>
      <c r="B237" s="49" t="s">
        <v>35</v>
      </c>
      <c r="C237" s="21"/>
      <c r="D237" s="49"/>
      <c r="E237" s="21">
        <f>+E236</f>
        <v>48</v>
      </c>
      <c r="F237" s="21">
        <f>SUM(E236)+1</f>
        <v>49</v>
      </c>
      <c r="G237" s="22">
        <f>$BH236/F236</f>
        <v>1</v>
      </c>
      <c r="H237" s="25">
        <f>H236</f>
        <v>44</v>
      </c>
      <c r="I237" s="23">
        <f>H237+J237</f>
        <v>44</v>
      </c>
      <c r="J237" s="25"/>
      <c r="K237" s="21"/>
      <c r="L237" s="21"/>
      <c r="M237" s="21">
        <f t="shared" ref="M237:O237" si="706">SUM(M236)</f>
        <v>0</v>
      </c>
      <c r="N237" s="21">
        <f t="shared" si="706"/>
        <v>0</v>
      </c>
      <c r="O237" s="21">
        <f t="shared" si="706"/>
        <v>0</v>
      </c>
      <c r="P237" s="22">
        <f>P236/F237</f>
        <v>0.8979591837</v>
      </c>
      <c r="Q237" s="21">
        <f t="shared" ref="Q237:S237" si="707">M237+Q236</f>
        <v>0</v>
      </c>
      <c r="R237" s="21">
        <f t="shared" si="707"/>
        <v>0</v>
      </c>
      <c r="S237" s="21">
        <f t="shared" si="707"/>
        <v>0</v>
      </c>
      <c r="T237" s="22">
        <f>T236/F237</f>
        <v>0.8979591837</v>
      </c>
      <c r="U237" s="21">
        <f t="shared" ref="U237:W237" si="708">Q237+U236</f>
        <v>0</v>
      </c>
      <c r="V237" s="21">
        <f t="shared" si="708"/>
        <v>0</v>
      </c>
      <c r="W237" s="21">
        <f t="shared" si="708"/>
        <v>0</v>
      </c>
      <c r="X237" s="22">
        <f>X236/F237</f>
        <v>0.8979591837</v>
      </c>
      <c r="Y237" s="21">
        <f t="shared" ref="Y237:AA237" si="709">U237+Y236</f>
        <v>0</v>
      </c>
      <c r="Z237" s="21">
        <f t="shared" si="709"/>
        <v>0</v>
      </c>
      <c r="AA237" s="21">
        <f t="shared" si="709"/>
        <v>0</v>
      </c>
      <c r="AB237" s="22">
        <f>AB236/F237</f>
        <v>0.8979591837</v>
      </c>
      <c r="AC237" s="21">
        <f t="shared" ref="AC237:AE237" si="710">Y237+AC236</f>
        <v>0</v>
      </c>
      <c r="AD237" s="21">
        <f t="shared" si="710"/>
        <v>0</v>
      </c>
      <c r="AE237" s="21">
        <f t="shared" si="710"/>
        <v>0</v>
      </c>
      <c r="AF237" s="22">
        <f>AF236/F237</f>
        <v>0.8979591837</v>
      </c>
      <c r="AG237" s="21">
        <f t="shared" ref="AG237:AI237" si="711">AC237+AG236</f>
        <v>0</v>
      </c>
      <c r="AH237" s="21">
        <f t="shared" si="711"/>
        <v>0</v>
      </c>
      <c r="AI237" s="21">
        <f t="shared" si="711"/>
        <v>0</v>
      </c>
      <c r="AJ237" s="22">
        <f>AJ236/F237</f>
        <v>0.8979591837</v>
      </c>
      <c r="AK237" s="21">
        <f t="shared" ref="AK237:AM237" si="712">AG237+AK236</f>
        <v>0</v>
      </c>
      <c r="AL237" s="21">
        <f t="shared" si="712"/>
        <v>0</v>
      </c>
      <c r="AM237" s="21">
        <f t="shared" si="712"/>
        <v>0</v>
      </c>
      <c r="AN237" s="22">
        <f>AN236/F237</f>
        <v>0.8979591837</v>
      </c>
      <c r="AO237" s="21">
        <f t="shared" ref="AO237:AQ237" si="713">AK237+AO236</f>
        <v>0</v>
      </c>
      <c r="AP237" s="21">
        <f t="shared" si="713"/>
        <v>0</v>
      </c>
      <c r="AQ237" s="21">
        <f t="shared" si="713"/>
        <v>0</v>
      </c>
      <c r="AR237" s="22">
        <f>AR236/F237</f>
        <v>0.8979591837</v>
      </c>
      <c r="AS237" s="21">
        <f t="shared" ref="AS237:AU237" si="714">AO237+AS236</f>
        <v>1</v>
      </c>
      <c r="AT237" s="21">
        <f t="shared" si="714"/>
        <v>2</v>
      </c>
      <c r="AU237" s="21">
        <f t="shared" si="714"/>
        <v>0</v>
      </c>
      <c r="AV237" s="22">
        <f>AV236/F237</f>
        <v>0.9591836735</v>
      </c>
      <c r="AW237" s="21">
        <f t="shared" ref="AW237:AY237" si="715">AS237+AW236</f>
        <v>1</v>
      </c>
      <c r="AX237" s="21">
        <f t="shared" si="715"/>
        <v>2</v>
      </c>
      <c r="AY237" s="21">
        <f t="shared" si="715"/>
        <v>0</v>
      </c>
      <c r="AZ237" s="22">
        <f>AZ236/F237</f>
        <v>0.9591836735</v>
      </c>
      <c r="BA237" s="21">
        <f t="shared" ref="BA237:BC237" si="716">AW237+BA236</f>
        <v>2</v>
      </c>
      <c r="BB237" s="21">
        <f t="shared" si="716"/>
        <v>2</v>
      </c>
      <c r="BC237" s="21">
        <f t="shared" si="716"/>
        <v>1</v>
      </c>
      <c r="BD237" s="22">
        <f>BD236/F237</f>
        <v>1</v>
      </c>
      <c r="BE237" s="21">
        <f t="shared" ref="BE237:BG237" si="717">BA237+BE236</f>
        <v>2</v>
      </c>
      <c r="BF237" s="21">
        <f t="shared" si="717"/>
        <v>2</v>
      </c>
      <c r="BG237" s="21">
        <f t="shared" si="717"/>
        <v>1</v>
      </c>
      <c r="BH237" s="22">
        <f>BH236/F237</f>
        <v>1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33"/>
      <c r="B238" s="49"/>
      <c r="C238" s="21"/>
      <c r="D238" s="49"/>
      <c r="E238" s="21"/>
      <c r="F238" s="21"/>
      <c r="G238" s="22"/>
      <c r="H238" s="25"/>
      <c r="I238" s="23"/>
      <c r="J238" s="25"/>
      <c r="K238" s="21"/>
      <c r="L238" s="21"/>
      <c r="M238" s="21"/>
      <c r="N238" s="21"/>
      <c r="O238" s="21"/>
      <c r="P238" s="25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32" t="s">
        <v>199</v>
      </c>
      <c r="B239" s="21"/>
      <c r="C239" s="21"/>
      <c r="D239" s="21"/>
      <c r="E239" s="21"/>
      <c r="F239" s="21"/>
      <c r="G239" s="22"/>
      <c r="H239" s="25"/>
      <c r="I239" s="23"/>
      <c r="J239" s="25"/>
      <c r="K239" s="21"/>
      <c r="L239" s="21"/>
      <c r="M239" s="21"/>
      <c r="N239" s="21"/>
      <c r="O239" s="21"/>
      <c r="P239" s="25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2"/>
      <c r="B240" s="112" t="s">
        <v>200</v>
      </c>
      <c r="C240" s="21">
        <v>1.0</v>
      </c>
      <c r="D240" s="21">
        <v>5791.0</v>
      </c>
      <c r="E240" s="21">
        <v>38.0</v>
      </c>
      <c r="F240" s="35">
        <f t="shared" ref="F240:F241" si="718">E240+1</f>
        <v>39</v>
      </c>
      <c r="G240" s="22">
        <f t="shared" ref="G240:G241" si="719">$BH240/F240</f>
        <v>0.4615384615</v>
      </c>
      <c r="H240" s="25">
        <v>18.0</v>
      </c>
      <c r="I240" s="23">
        <f t="shared" ref="I240:I241" si="720">+H240+J240</f>
        <v>18</v>
      </c>
      <c r="J240" s="25"/>
      <c r="K240" s="21">
        <v>2027.0</v>
      </c>
      <c r="L240" s="21">
        <v>2025.0</v>
      </c>
      <c r="M240" s="21"/>
      <c r="N240" s="21"/>
      <c r="O240" s="21"/>
      <c r="P240" s="25">
        <f t="shared" ref="P240:P241" si="721">SUM(M240:O240)+H240</f>
        <v>18</v>
      </c>
      <c r="Q240" s="21"/>
      <c r="R240" s="21"/>
      <c r="S240" s="21"/>
      <c r="T240" s="25">
        <f t="shared" ref="T240:T241" si="722">SUM(P240:S240)</f>
        <v>18</v>
      </c>
      <c r="U240" s="21"/>
      <c r="V240" s="21"/>
      <c r="W240" s="21"/>
      <c r="X240" s="25">
        <f t="shared" ref="X240:X241" si="723">SUM(T240:W240)</f>
        <v>18</v>
      </c>
      <c r="Y240" s="21"/>
      <c r="Z240" s="21"/>
      <c r="AA240" s="21"/>
      <c r="AB240" s="25">
        <f t="shared" ref="AB240:AB241" si="724">SUM(X240:AA240)</f>
        <v>18</v>
      </c>
      <c r="AC240" s="21"/>
      <c r="AD240" s="21"/>
      <c r="AE240" s="21"/>
      <c r="AF240" s="25">
        <f t="shared" ref="AF240:AF241" si="725">SUM(AB240:AE240)</f>
        <v>18</v>
      </c>
      <c r="AG240" s="21"/>
      <c r="AH240" s="21"/>
      <c r="AI240" s="21"/>
      <c r="AJ240" s="25">
        <f t="shared" ref="AJ240:AJ241" si="726">SUM(AF240:AI240)</f>
        <v>18</v>
      </c>
      <c r="AK240" s="21"/>
      <c r="AL240" s="21"/>
      <c r="AM240" s="21"/>
      <c r="AN240" s="25">
        <f t="shared" ref="AN240:AN241" si="727">SUM(AJ240:AM240)</f>
        <v>18</v>
      </c>
      <c r="AO240" s="21"/>
      <c r="AP240" s="21"/>
      <c r="AQ240" s="21"/>
      <c r="AR240" s="25">
        <f t="shared" ref="AR240:AR241" si="728">SUM(AN240:AQ240)</f>
        <v>18</v>
      </c>
      <c r="AS240" s="21"/>
      <c r="AT240" s="21"/>
      <c r="AU240" s="21"/>
      <c r="AV240" s="25">
        <f t="shared" ref="AV240:AV241" si="729">SUM(AR240:AU240)</f>
        <v>18</v>
      </c>
      <c r="AW240" s="21"/>
      <c r="AX240" s="21"/>
      <c r="AY240" s="21"/>
      <c r="AZ240" s="25">
        <f t="shared" ref="AZ240:AZ241" si="730">SUM(AV240:AY240)</f>
        <v>18</v>
      </c>
      <c r="BA240" s="21"/>
      <c r="BB240" s="21"/>
      <c r="BC240" s="21"/>
      <c r="BD240" s="25">
        <f t="shared" ref="BD240:BD241" si="731">SUM(AZ240:BC240)</f>
        <v>18</v>
      </c>
      <c r="BE240" s="21"/>
      <c r="BF240" s="21"/>
      <c r="BG240" s="21"/>
      <c r="BH240" s="25">
        <f t="shared" ref="BH240:BH241" si="732">SUM(BD240:BG240)</f>
        <v>18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23"/>
      <c r="B241" s="68" t="s">
        <v>201</v>
      </c>
      <c r="C241" s="35">
        <v>3.0</v>
      </c>
      <c r="D241" s="35">
        <v>3041.0</v>
      </c>
      <c r="E241" s="35">
        <v>48.0</v>
      </c>
      <c r="F241" s="35">
        <f t="shared" si="718"/>
        <v>49</v>
      </c>
      <c r="G241" s="63">
        <f t="shared" si="719"/>
        <v>0.9183673469</v>
      </c>
      <c r="H241" s="39">
        <v>43.0</v>
      </c>
      <c r="I241" s="38">
        <f t="shared" si="720"/>
        <v>44</v>
      </c>
      <c r="J241" s="73">
        <v>1.0</v>
      </c>
      <c r="K241" s="35">
        <v>2025.0</v>
      </c>
      <c r="L241" s="35">
        <v>2025.0</v>
      </c>
      <c r="M241" s="35"/>
      <c r="N241" s="35"/>
      <c r="O241" s="35"/>
      <c r="P241" s="39">
        <f t="shared" si="721"/>
        <v>43</v>
      </c>
      <c r="Q241" s="35"/>
      <c r="R241" s="35"/>
      <c r="S241" s="35"/>
      <c r="T241" s="39">
        <f t="shared" si="722"/>
        <v>43</v>
      </c>
      <c r="U241" s="35"/>
      <c r="V241" s="35"/>
      <c r="W241" s="35"/>
      <c r="X241" s="39">
        <f t="shared" si="723"/>
        <v>43</v>
      </c>
      <c r="Y241" s="35"/>
      <c r="Z241" s="35"/>
      <c r="AA241" s="35"/>
      <c r="AB241" s="39">
        <f t="shared" si="724"/>
        <v>43</v>
      </c>
      <c r="AC241" s="35"/>
      <c r="AD241" s="35"/>
      <c r="AE241" s="35"/>
      <c r="AF241" s="39">
        <f t="shared" si="725"/>
        <v>43</v>
      </c>
      <c r="AG241" s="35"/>
      <c r="AH241" s="35"/>
      <c r="AI241" s="35"/>
      <c r="AJ241" s="39">
        <f t="shared" si="726"/>
        <v>43</v>
      </c>
      <c r="AK241" s="35"/>
      <c r="AL241" s="41">
        <v>1.0</v>
      </c>
      <c r="AM241" s="35"/>
      <c r="AN241" s="39">
        <f t="shared" si="727"/>
        <v>44</v>
      </c>
      <c r="AO241" s="35"/>
      <c r="AP241" s="35"/>
      <c r="AQ241" s="35"/>
      <c r="AR241" s="39">
        <f t="shared" si="728"/>
        <v>44</v>
      </c>
      <c r="AS241" s="41">
        <v>1.0</v>
      </c>
      <c r="AT241" s="35"/>
      <c r="AU241" s="35"/>
      <c r="AV241" s="39">
        <f t="shared" si="729"/>
        <v>45</v>
      </c>
      <c r="AW241" s="35"/>
      <c r="AX241" s="35"/>
      <c r="AY241" s="35"/>
      <c r="AZ241" s="39">
        <f t="shared" si="730"/>
        <v>45</v>
      </c>
      <c r="BA241" s="35"/>
      <c r="BB241" s="35"/>
      <c r="BC241" s="35"/>
      <c r="BD241" s="39">
        <f t="shared" si="731"/>
        <v>45</v>
      </c>
      <c r="BE241" s="35"/>
      <c r="BF241" s="35"/>
      <c r="BG241" s="35"/>
      <c r="BH241" s="39">
        <f t="shared" si="732"/>
        <v>45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>
      <c r="A243" s="21"/>
      <c r="B243" s="21" t="s">
        <v>35</v>
      </c>
      <c r="C243" s="21">
        <f>COUNT(C240:C241)</f>
        <v>2</v>
      </c>
      <c r="D243" s="21"/>
      <c r="E243" s="21">
        <f t="shared" ref="E243:F243" si="733">+E241</f>
        <v>48</v>
      </c>
      <c r="F243" s="21">
        <f t="shared" si="733"/>
        <v>49</v>
      </c>
      <c r="G243" s="22">
        <f>$BH241/F243</f>
        <v>0.9183673469</v>
      </c>
      <c r="H243" s="25">
        <f>H241</f>
        <v>43</v>
      </c>
      <c r="I243" s="23">
        <f>+H243+J243</f>
        <v>44</v>
      </c>
      <c r="J243" s="25">
        <f>J241</f>
        <v>1</v>
      </c>
      <c r="K243" s="21"/>
      <c r="L243" s="21"/>
      <c r="M243" s="21" t="str">
        <f t="shared" ref="M243:O243" si="734">M241</f>
        <v/>
      </c>
      <c r="N243" s="21" t="str">
        <f t="shared" si="734"/>
        <v/>
      </c>
      <c r="O243" s="21" t="str">
        <f t="shared" si="734"/>
        <v/>
      </c>
      <c r="P243" s="22">
        <f>P241/F243</f>
        <v>0.8775510204</v>
      </c>
      <c r="Q243" s="21">
        <f t="shared" ref="Q243:S243" si="735">M243+Q241</f>
        <v>0</v>
      </c>
      <c r="R243" s="21">
        <f t="shared" si="735"/>
        <v>0</v>
      </c>
      <c r="S243" s="21">
        <f t="shared" si="735"/>
        <v>0</v>
      </c>
      <c r="T243" s="22">
        <f>T241/F241</f>
        <v>0.8775510204</v>
      </c>
      <c r="U243" s="21">
        <f t="shared" ref="U243:W243" si="736">Q243+U241</f>
        <v>0</v>
      </c>
      <c r="V243" s="21">
        <f t="shared" si="736"/>
        <v>0</v>
      </c>
      <c r="W243" s="21">
        <f t="shared" si="736"/>
        <v>0</v>
      </c>
      <c r="X243" s="22">
        <f>X241/F243</f>
        <v>0.8775510204</v>
      </c>
      <c r="Y243" s="21">
        <f t="shared" ref="Y243:AA243" si="737">U243+Y241</f>
        <v>0</v>
      </c>
      <c r="Z243" s="21">
        <f t="shared" si="737"/>
        <v>0</v>
      </c>
      <c r="AA243" s="21">
        <f t="shared" si="737"/>
        <v>0</v>
      </c>
      <c r="AB243" s="22">
        <f>AB241/F241</f>
        <v>0.8775510204</v>
      </c>
      <c r="AC243" s="21">
        <f t="shared" ref="AC243:AE243" si="738">Y243+AC241</f>
        <v>0</v>
      </c>
      <c r="AD243" s="21">
        <f t="shared" si="738"/>
        <v>0</v>
      </c>
      <c r="AE243" s="21">
        <f t="shared" si="738"/>
        <v>0</v>
      </c>
      <c r="AF243" s="22">
        <f>AF241/F241</f>
        <v>0.8775510204</v>
      </c>
      <c r="AG243" s="21">
        <f t="shared" ref="AG243:AI243" si="739">AC243+AG241</f>
        <v>0</v>
      </c>
      <c r="AH243" s="21">
        <f t="shared" si="739"/>
        <v>0</v>
      </c>
      <c r="AI243" s="21">
        <f t="shared" si="739"/>
        <v>0</v>
      </c>
      <c r="AJ243" s="22">
        <f>AJ241/F241</f>
        <v>0.8775510204</v>
      </c>
      <c r="AK243" s="21">
        <f t="shared" ref="AK243:AM243" si="740">AG243+AK241</f>
        <v>0</v>
      </c>
      <c r="AL243" s="21">
        <f t="shared" si="740"/>
        <v>1</v>
      </c>
      <c r="AM243" s="21">
        <f t="shared" si="740"/>
        <v>0</v>
      </c>
      <c r="AN243" s="22">
        <f>AN241/F241</f>
        <v>0.8979591837</v>
      </c>
      <c r="AO243" s="21">
        <f t="shared" ref="AO243:AQ243" si="741">AK243+AO241</f>
        <v>0</v>
      </c>
      <c r="AP243" s="21">
        <f t="shared" si="741"/>
        <v>1</v>
      </c>
      <c r="AQ243" s="21">
        <f t="shared" si="741"/>
        <v>0</v>
      </c>
      <c r="AR243" s="22">
        <f>AR241/F241</f>
        <v>0.8979591837</v>
      </c>
      <c r="AS243" s="21">
        <f t="shared" ref="AS243:AU243" si="742">AO243+AS241</f>
        <v>1</v>
      </c>
      <c r="AT243" s="21">
        <f t="shared" si="742"/>
        <v>1</v>
      </c>
      <c r="AU243" s="21">
        <f t="shared" si="742"/>
        <v>0</v>
      </c>
      <c r="AV243" s="22">
        <f>AV241/F241</f>
        <v>0.9183673469</v>
      </c>
      <c r="AW243" s="21">
        <f t="shared" ref="AW243:AY243" si="743">AS243+AW241</f>
        <v>1</v>
      </c>
      <c r="AX243" s="21">
        <f t="shared" si="743"/>
        <v>1</v>
      </c>
      <c r="AY243" s="21">
        <f t="shared" si="743"/>
        <v>0</v>
      </c>
      <c r="AZ243" s="22">
        <f>AZ241/F241</f>
        <v>0.9183673469</v>
      </c>
      <c r="BA243" s="21">
        <f t="shared" ref="BA243:BC243" si="744">AW243+BA241</f>
        <v>1</v>
      </c>
      <c r="BB243" s="21">
        <f t="shared" si="744"/>
        <v>1</v>
      </c>
      <c r="BC243" s="21">
        <f t="shared" si="744"/>
        <v>0</v>
      </c>
      <c r="BD243" s="22">
        <f>BD241/F241</f>
        <v>0.9183673469</v>
      </c>
      <c r="BE243" s="21">
        <f t="shared" ref="BE243:BG243" si="745">BA243+BE241</f>
        <v>1</v>
      </c>
      <c r="BF243" s="21">
        <f t="shared" si="745"/>
        <v>1</v>
      </c>
      <c r="BG243" s="21">
        <f t="shared" si="745"/>
        <v>0</v>
      </c>
      <c r="BH243" s="22">
        <f>BH241/F241</f>
        <v>0.9183673469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>
      <c r="A244" s="16"/>
      <c r="B244" s="16"/>
      <c r="C244" s="16"/>
      <c r="D244" s="16"/>
      <c r="E244" s="16"/>
      <c r="F244" s="16"/>
      <c r="G244" s="16"/>
      <c r="H244" s="31"/>
      <c r="I244" s="23"/>
      <c r="J244" s="31"/>
      <c r="K244" s="16"/>
      <c r="L244" s="16"/>
      <c r="M244" s="16"/>
      <c r="N244" s="16"/>
      <c r="O244" s="16"/>
      <c r="P244" s="25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32" t="s">
        <v>202</v>
      </c>
      <c r="B245" s="21"/>
      <c r="C245" s="21"/>
      <c r="D245" s="21"/>
      <c r="E245" s="21"/>
      <c r="F245" s="21"/>
      <c r="G245" s="22"/>
      <c r="H245" s="25"/>
      <c r="I245" s="23"/>
      <c r="J245" s="25"/>
      <c r="K245" s="21"/>
      <c r="L245" s="21"/>
      <c r="M245" s="21"/>
      <c r="N245" s="21"/>
      <c r="O245" s="21"/>
      <c r="P245" s="25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30" t="s">
        <v>203</v>
      </c>
      <c r="C246" s="21">
        <v>7.0</v>
      </c>
      <c r="D246" s="21">
        <v>3117.0</v>
      </c>
      <c r="E246" s="21">
        <v>15.0</v>
      </c>
      <c r="F246" s="35">
        <f t="shared" ref="F246:F249" si="746">E246+1</f>
        <v>16</v>
      </c>
      <c r="G246" s="22">
        <f t="shared" ref="G246:G249" si="747">$BH246/F246</f>
        <v>0.5625</v>
      </c>
      <c r="H246" s="25">
        <v>9.0</v>
      </c>
      <c r="I246" s="23">
        <f t="shared" ref="I246:I249" si="748">+H246+J246</f>
        <v>9</v>
      </c>
      <c r="J246" s="25"/>
      <c r="K246" s="21">
        <v>2025.0</v>
      </c>
      <c r="L246" s="21">
        <v>2025.0</v>
      </c>
      <c r="M246" s="21"/>
      <c r="N246" s="21"/>
      <c r="O246" s="21"/>
      <c r="P246" s="25">
        <f t="shared" ref="P246:P249" si="749">SUM(M246:O246)+H246</f>
        <v>9</v>
      </c>
      <c r="Q246" s="21"/>
      <c r="R246" s="21"/>
      <c r="S246" s="21"/>
      <c r="T246" s="25">
        <f t="shared" ref="T246:T249" si="750">SUM(P246:S246)</f>
        <v>9</v>
      </c>
      <c r="U246" s="21"/>
      <c r="V246" s="21"/>
      <c r="W246" s="21"/>
      <c r="X246" s="25">
        <f t="shared" ref="X246:X249" si="751">SUM(T246:W246)</f>
        <v>9</v>
      </c>
      <c r="Y246" s="21"/>
      <c r="Z246" s="21"/>
      <c r="AA246" s="21"/>
      <c r="AB246" s="25">
        <f t="shared" ref="AB246:AB249" si="752">SUM(X246:AA246)</f>
        <v>9</v>
      </c>
      <c r="AC246" s="21"/>
      <c r="AD246" s="21"/>
      <c r="AE246" s="21"/>
      <c r="AF246" s="25">
        <f t="shared" ref="AF246:AF249" si="753">SUM(AB246:AE246)</f>
        <v>9</v>
      </c>
      <c r="AG246" s="21"/>
      <c r="AH246" s="21"/>
      <c r="AI246" s="21"/>
      <c r="AJ246" s="25">
        <f t="shared" ref="AJ246:AJ249" si="754">SUM(AF246:AI246)</f>
        <v>9</v>
      </c>
      <c r="AK246" s="21"/>
      <c r="AL246" s="21"/>
      <c r="AM246" s="21"/>
      <c r="AN246" s="25">
        <f t="shared" ref="AN246:AN249" si="755">SUM(AJ246:AM246)</f>
        <v>9</v>
      </c>
      <c r="AO246" s="21"/>
      <c r="AP246" s="21"/>
      <c r="AQ246" s="21"/>
      <c r="AR246" s="25">
        <f t="shared" ref="AR246:AR249" si="756">SUM(AN246:AQ246)</f>
        <v>9</v>
      </c>
      <c r="AS246" s="21"/>
      <c r="AT246" s="21"/>
      <c r="AU246" s="21"/>
      <c r="AV246" s="25">
        <f t="shared" ref="AV246:AV249" si="757">SUM(AR246:AU246)</f>
        <v>9</v>
      </c>
      <c r="AW246" s="21"/>
      <c r="AX246" s="21"/>
      <c r="AY246" s="21"/>
      <c r="AZ246" s="25">
        <f t="shared" ref="AZ246:AZ249" si="758">SUM(AV246:AY246)</f>
        <v>9</v>
      </c>
      <c r="BA246" s="21"/>
      <c r="BB246" s="21"/>
      <c r="BC246" s="21"/>
      <c r="BD246" s="25">
        <f t="shared" ref="BD246:BD249" si="759">SUM(AZ246:BC246)</f>
        <v>9</v>
      </c>
      <c r="BE246" s="21"/>
      <c r="BF246" s="21"/>
      <c r="BG246" s="21"/>
      <c r="BH246" s="25">
        <f t="shared" ref="BH246:BH249" si="760">SUM(BD246:BG246)</f>
        <v>9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2" t="s">
        <v>204</v>
      </c>
      <c r="C247" s="21">
        <v>15.0</v>
      </c>
      <c r="D247" s="21">
        <v>5351.0</v>
      </c>
      <c r="E247" s="21">
        <v>16.0</v>
      </c>
      <c r="F247" s="35">
        <f t="shared" si="746"/>
        <v>17</v>
      </c>
      <c r="G247" s="22">
        <f t="shared" si="747"/>
        <v>1</v>
      </c>
      <c r="H247" s="25">
        <v>16.0</v>
      </c>
      <c r="I247" s="23">
        <f t="shared" si="748"/>
        <v>16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49"/>
        <v>16</v>
      </c>
      <c r="Q247" s="21"/>
      <c r="R247" s="21"/>
      <c r="S247" s="21"/>
      <c r="T247" s="25">
        <f t="shared" si="750"/>
        <v>16</v>
      </c>
      <c r="U247" s="21"/>
      <c r="V247" s="21"/>
      <c r="W247" s="21"/>
      <c r="X247" s="25">
        <f t="shared" si="751"/>
        <v>16</v>
      </c>
      <c r="Y247" s="21"/>
      <c r="Z247" s="21"/>
      <c r="AA247" s="21"/>
      <c r="AB247" s="25">
        <f t="shared" si="752"/>
        <v>16</v>
      </c>
      <c r="AC247" s="21"/>
      <c r="AD247" s="21"/>
      <c r="AE247" s="21"/>
      <c r="AF247" s="25">
        <f t="shared" si="753"/>
        <v>16</v>
      </c>
      <c r="AG247" s="21">
        <v>1.0</v>
      </c>
      <c r="AH247" s="21"/>
      <c r="AI247" s="21"/>
      <c r="AJ247" s="25">
        <f t="shared" si="754"/>
        <v>17</v>
      </c>
      <c r="AK247" s="21"/>
      <c r="AL247" s="21"/>
      <c r="AM247" s="21"/>
      <c r="AN247" s="25">
        <f t="shared" si="755"/>
        <v>17</v>
      </c>
      <c r="AO247" s="21"/>
      <c r="AP247" s="21"/>
      <c r="AQ247" s="21"/>
      <c r="AR247" s="25">
        <f t="shared" si="756"/>
        <v>17</v>
      </c>
      <c r="AS247" s="21"/>
      <c r="AT247" s="21"/>
      <c r="AU247" s="21"/>
      <c r="AV247" s="25">
        <f t="shared" si="757"/>
        <v>17</v>
      </c>
      <c r="AW247" s="21"/>
      <c r="AX247" s="21"/>
      <c r="AY247" s="21"/>
      <c r="AZ247" s="25">
        <f t="shared" si="758"/>
        <v>17</v>
      </c>
      <c r="BA247" s="21"/>
      <c r="BB247" s="21"/>
      <c r="BC247" s="21"/>
      <c r="BD247" s="25">
        <f t="shared" si="759"/>
        <v>17</v>
      </c>
      <c r="BE247" s="21"/>
      <c r="BF247" s="21"/>
      <c r="BG247" s="21"/>
      <c r="BH247" s="25">
        <f t="shared" si="760"/>
        <v>17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68" t="s">
        <v>205</v>
      </c>
      <c r="C248" s="35">
        <v>38.0</v>
      </c>
      <c r="D248" s="35">
        <v>2179.0</v>
      </c>
      <c r="E248" s="35">
        <v>28.0</v>
      </c>
      <c r="F248" s="35">
        <f t="shared" si="746"/>
        <v>29</v>
      </c>
      <c r="G248" s="63">
        <f t="shared" si="747"/>
        <v>0.9310344828</v>
      </c>
      <c r="H248" s="39">
        <v>10.0</v>
      </c>
      <c r="I248" s="38">
        <f t="shared" si="748"/>
        <v>10</v>
      </c>
      <c r="J248" s="39"/>
      <c r="K248" s="35">
        <v>2027.0</v>
      </c>
      <c r="L248" s="35">
        <v>2025.0</v>
      </c>
      <c r="M248" s="35"/>
      <c r="N248" s="35">
        <v>17.0</v>
      </c>
      <c r="O248" s="35"/>
      <c r="P248" s="39">
        <f t="shared" si="749"/>
        <v>27</v>
      </c>
      <c r="Q248" s="35"/>
      <c r="R248" s="35"/>
      <c r="S248" s="35"/>
      <c r="T248" s="39">
        <f t="shared" si="750"/>
        <v>27</v>
      </c>
      <c r="U248" s="35"/>
      <c r="V248" s="35"/>
      <c r="W248" s="35"/>
      <c r="X248" s="39">
        <f t="shared" si="751"/>
        <v>27</v>
      </c>
      <c r="Y248" s="35"/>
      <c r="Z248" s="35"/>
      <c r="AA248" s="35"/>
      <c r="AB248" s="39">
        <f t="shared" si="752"/>
        <v>27</v>
      </c>
      <c r="AC248" s="35"/>
      <c r="AD248" s="35"/>
      <c r="AE248" s="35"/>
      <c r="AF248" s="39">
        <f t="shared" si="753"/>
        <v>27</v>
      </c>
      <c r="AG248" s="35"/>
      <c r="AH248" s="35"/>
      <c r="AI248" s="35"/>
      <c r="AJ248" s="39">
        <f t="shared" si="754"/>
        <v>27</v>
      </c>
      <c r="AK248" s="35"/>
      <c r="AL248" s="35"/>
      <c r="AM248" s="35"/>
      <c r="AN248" s="39">
        <f t="shared" si="755"/>
        <v>27</v>
      </c>
      <c r="AO248" s="35"/>
      <c r="AP248" s="35"/>
      <c r="AQ248" s="35"/>
      <c r="AR248" s="39">
        <f t="shared" si="756"/>
        <v>27</v>
      </c>
      <c r="AS248" s="35"/>
      <c r="AT248" s="35"/>
      <c r="AU248" s="35"/>
      <c r="AV248" s="39">
        <f t="shared" si="757"/>
        <v>27</v>
      </c>
      <c r="AW248" s="35"/>
      <c r="AX248" s="35"/>
      <c r="AY248" s="35"/>
      <c r="AZ248" s="39">
        <f t="shared" si="758"/>
        <v>27</v>
      </c>
      <c r="BA248" s="35"/>
      <c r="BB248" s="35"/>
      <c r="BC248" s="35"/>
      <c r="BD248" s="39">
        <f t="shared" si="759"/>
        <v>27</v>
      </c>
      <c r="BE248" s="35"/>
      <c r="BF248" s="35"/>
      <c r="BG248" s="35"/>
      <c r="BH248" s="39">
        <f t="shared" si="760"/>
        <v>27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124" t="s">
        <v>206</v>
      </c>
      <c r="C249" s="21">
        <v>41.0</v>
      </c>
      <c r="D249" s="21">
        <v>6763.0</v>
      </c>
      <c r="E249" s="21">
        <v>25.0</v>
      </c>
      <c r="F249" s="35">
        <f t="shared" si="746"/>
        <v>26</v>
      </c>
      <c r="G249" s="63">
        <f t="shared" si="747"/>
        <v>0.6923076923</v>
      </c>
      <c r="H249" s="25">
        <v>5.0</v>
      </c>
      <c r="I249" s="25">
        <f t="shared" si="748"/>
        <v>5</v>
      </c>
      <c r="J249" s="25"/>
      <c r="K249" s="21">
        <v>2027.0</v>
      </c>
      <c r="L249" s="21">
        <v>2025.0</v>
      </c>
      <c r="M249" s="21"/>
      <c r="N249" s="21"/>
      <c r="O249" s="21"/>
      <c r="P249" s="25">
        <f t="shared" si="749"/>
        <v>5</v>
      </c>
      <c r="Q249" s="21"/>
      <c r="R249" s="21"/>
      <c r="S249" s="21"/>
      <c r="T249" s="25">
        <f t="shared" si="750"/>
        <v>5</v>
      </c>
      <c r="U249" s="21"/>
      <c r="V249" s="21"/>
      <c r="W249" s="21"/>
      <c r="X249" s="25">
        <f t="shared" si="751"/>
        <v>5</v>
      </c>
      <c r="Y249" s="21"/>
      <c r="Z249" s="21">
        <v>11.0</v>
      </c>
      <c r="AA249" s="21"/>
      <c r="AB249" s="25">
        <f t="shared" si="752"/>
        <v>16</v>
      </c>
      <c r="AC249" s="21"/>
      <c r="AD249" s="21"/>
      <c r="AE249" s="21"/>
      <c r="AF249" s="25">
        <f t="shared" si="753"/>
        <v>16</v>
      </c>
      <c r="AG249" s="21"/>
      <c r="AH249" s="21"/>
      <c r="AI249" s="21"/>
      <c r="AJ249" s="25">
        <f t="shared" si="754"/>
        <v>16</v>
      </c>
      <c r="AK249" s="21"/>
      <c r="AL249" s="21"/>
      <c r="AM249" s="21"/>
      <c r="AN249" s="25">
        <f t="shared" si="755"/>
        <v>16</v>
      </c>
      <c r="AO249" s="21"/>
      <c r="AP249" s="18">
        <v>1.0</v>
      </c>
      <c r="AQ249" s="21"/>
      <c r="AR249" s="25">
        <f t="shared" si="756"/>
        <v>17</v>
      </c>
      <c r="AS249" s="21"/>
      <c r="AT249" s="21"/>
      <c r="AU249" s="21"/>
      <c r="AV249" s="25">
        <f t="shared" si="757"/>
        <v>17</v>
      </c>
      <c r="AW249" s="21"/>
      <c r="AX249" s="21"/>
      <c r="AY249" s="21"/>
      <c r="AZ249" s="25">
        <f t="shared" si="758"/>
        <v>17</v>
      </c>
      <c r="BA249" s="18">
        <v>1.0</v>
      </c>
      <c r="BB249" s="21"/>
      <c r="BC249" s="21"/>
      <c r="BD249" s="25">
        <f t="shared" si="759"/>
        <v>18</v>
      </c>
      <c r="BE249" s="18"/>
      <c r="BF249" s="21"/>
      <c r="BG249" s="21"/>
      <c r="BH249" s="25">
        <f t="shared" si="760"/>
        <v>18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24"/>
      <c r="B250" s="24"/>
      <c r="C250" s="24"/>
      <c r="D250" s="24"/>
      <c r="E250" s="24"/>
      <c r="F250" s="24"/>
      <c r="G250" s="24"/>
      <c r="H250" s="23"/>
      <c r="I250" s="23"/>
      <c r="J250" s="23"/>
      <c r="K250" s="24"/>
      <c r="L250" s="24"/>
      <c r="M250" s="23">
        <f t="shared" ref="M250:BH250" si="761">SUM(M245:M249)</f>
        <v>0</v>
      </c>
      <c r="N250" s="23">
        <f t="shared" si="761"/>
        <v>17</v>
      </c>
      <c r="O250" s="23">
        <f t="shared" si="761"/>
        <v>0</v>
      </c>
      <c r="P250" s="23">
        <f t="shared" si="761"/>
        <v>57</v>
      </c>
      <c r="Q250" s="23">
        <f t="shared" si="761"/>
        <v>0</v>
      </c>
      <c r="R250" s="23">
        <f t="shared" si="761"/>
        <v>0</v>
      </c>
      <c r="S250" s="23">
        <f t="shared" si="761"/>
        <v>0</v>
      </c>
      <c r="T250" s="23">
        <f t="shared" si="761"/>
        <v>57</v>
      </c>
      <c r="U250" s="23">
        <f t="shared" si="761"/>
        <v>0</v>
      </c>
      <c r="V250" s="23">
        <f t="shared" si="761"/>
        <v>0</v>
      </c>
      <c r="W250" s="23">
        <f t="shared" si="761"/>
        <v>0</v>
      </c>
      <c r="X250" s="23">
        <f t="shared" si="761"/>
        <v>57</v>
      </c>
      <c r="Y250" s="23">
        <f t="shared" si="761"/>
        <v>0</v>
      </c>
      <c r="Z250" s="23">
        <f t="shared" si="761"/>
        <v>11</v>
      </c>
      <c r="AA250" s="23">
        <f t="shared" si="761"/>
        <v>0</v>
      </c>
      <c r="AB250" s="23">
        <f t="shared" si="761"/>
        <v>68</v>
      </c>
      <c r="AC250" s="23">
        <f t="shared" si="761"/>
        <v>0</v>
      </c>
      <c r="AD250" s="23">
        <f t="shared" si="761"/>
        <v>0</v>
      </c>
      <c r="AE250" s="23">
        <f t="shared" si="761"/>
        <v>0</v>
      </c>
      <c r="AF250" s="23">
        <f t="shared" si="761"/>
        <v>68</v>
      </c>
      <c r="AG250" s="23">
        <f t="shared" si="761"/>
        <v>1</v>
      </c>
      <c r="AH250" s="23">
        <f t="shared" si="761"/>
        <v>0</v>
      </c>
      <c r="AI250" s="23">
        <f t="shared" si="761"/>
        <v>0</v>
      </c>
      <c r="AJ250" s="23">
        <f t="shared" si="761"/>
        <v>69</v>
      </c>
      <c r="AK250" s="23">
        <f t="shared" si="761"/>
        <v>0</v>
      </c>
      <c r="AL250" s="23">
        <f t="shared" si="761"/>
        <v>0</v>
      </c>
      <c r="AM250" s="23">
        <f t="shared" si="761"/>
        <v>0</v>
      </c>
      <c r="AN250" s="23">
        <f t="shared" si="761"/>
        <v>69</v>
      </c>
      <c r="AO250" s="23">
        <f t="shared" si="761"/>
        <v>0</v>
      </c>
      <c r="AP250" s="23">
        <f t="shared" si="761"/>
        <v>1</v>
      </c>
      <c r="AQ250" s="23">
        <f t="shared" si="761"/>
        <v>0</v>
      </c>
      <c r="AR250" s="23">
        <f t="shared" si="761"/>
        <v>70</v>
      </c>
      <c r="AS250" s="23">
        <f t="shared" si="761"/>
        <v>0</v>
      </c>
      <c r="AT250" s="23">
        <f t="shared" si="761"/>
        <v>0</v>
      </c>
      <c r="AU250" s="23">
        <f t="shared" si="761"/>
        <v>0</v>
      </c>
      <c r="AV250" s="23">
        <f t="shared" si="761"/>
        <v>70</v>
      </c>
      <c r="AW250" s="23">
        <f t="shared" si="761"/>
        <v>0</v>
      </c>
      <c r="AX250" s="23">
        <f t="shared" si="761"/>
        <v>0</v>
      </c>
      <c r="AY250" s="23">
        <f t="shared" si="761"/>
        <v>0</v>
      </c>
      <c r="AZ250" s="23">
        <f t="shared" si="761"/>
        <v>70</v>
      </c>
      <c r="BA250" s="23">
        <f t="shared" si="761"/>
        <v>1</v>
      </c>
      <c r="BB250" s="23">
        <f t="shared" si="761"/>
        <v>0</v>
      </c>
      <c r="BC250" s="23">
        <f t="shared" si="761"/>
        <v>0</v>
      </c>
      <c r="BD250" s="23">
        <f t="shared" si="761"/>
        <v>71</v>
      </c>
      <c r="BE250" s="23">
        <f t="shared" si="761"/>
        <v>0</v>
      </c>
      <c r="BF250" s="23">
        <f t="shared" si="761"/>
        <v>0</v>
      </c>
      <c r="BG250" s="23">
        <f t="shared" si="761"/>
        <v>0</v>
      </c>
      <c r="BH250" s="23">
        <f t="shared" si="761"/>
        <v>71</v>
      </c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35</v>
      </c>
      <c r="C251" s="21">
        <f>COUNT(C244:C249)</f>
        <v>4</v>
      </c>
      <c r="D251" s="21"/>
      <c r="E251" s="21">
        <f>SUM(E245:E249)</f>
        <v>84</v>
      </c>
      <c r="F251" s="21">
        <f>SUM(E245:E249)+1</f>
        <v>85</v>
      </c>
      <c r="G251" s="22">
        <f>$BH250/F251</f>
        <v>0.8352941176</v>
      </c>
      <c r="H251" s="25">
        <f t="shared" ref="H251:J251" si="762">SUM(H245:H249)</f>
        <v>40</v>
      </c>
      <c r="I251" s="25">
        <f t="shared" si="762"/>
        <v>40</v>
      </c>
      <c r="J251" s="25">
        <f t="shared" si="762"/>
        <v>0</v>
      </c>
      <c r="K251" s="21"/>
      <c r="L251" s="21"/>
      <c r="M251" s="21"/>
      <c r="N251" s="21"/>
      <c r="O251" s="21"/>
      <c r="P251" s="22">
        <f>P250/F251</f>
        <v>0.6705882353</v>
      </c>
      <c r="Q251" s="25">
        <f t="shared" ref="Q251:S251" si="763">M250+Q250</f>
        <v>0</v>
      </c>
      <c r="R251" s="25">
        <f t="shared" si="763"/>
        <v>17</v>
      </c>
      <c r="S251" s="25">
        <f t="shared" si="763"/>
        <v>0</v>
      </c>
      <c r="T251" s="22">
        <f>T250/F251</f>
        <v>0.6705882353</v>
      </c>
      <c r="U251" s="25">
        <f t="shared" ref="U251:W251" si="764">Q251+U250</f>
        <v>0</v>
      </c>
      <c r="V251" s="25">
        <f t="shared" si="764"/>
        <v>17</v>
      </c>
      <c r="W251" s="25">
        <f t="shared" si="764"/>
        <v>0</v>
      </c>
      <c r="X251" s="22">
        <f>X250/F251</f>
        <v>0.6705882353</v>
      </c>
      <c r="Y251" s="25">
        <f t="shared" ref="Y251:AA251" si="765">U251+Y250</f>
        <v>0</v>
      </c>
      <c r="Z251" s="25">
        <f t="shared" si="765"/>
        <v>28</v>
      </c>
      <c r="AA251" s="25">
        <f t="shared" si="765"/>
        <v>0</v>
      </c>
      <c r="AB251" s="22">
        <f>AB250/F251</f>
        <v>0.8</v>
      </c>
      <c r="AC251" s="25">
        <f t="shared" ref="AC251:AE251" si="766">Y251+AC250</f>
        <v>0</v>
      </c>
      <c r="AD251" s="25">
        <f t="shared" si="766"/>
        <v>28</v>
      </c>
      <c r="AE251" s="25">
        <f t="shared" si="766"/>
        <v>0</v>
      </c>
      <c r="AF251" s="22">
        <f>AF250/F251</f>
        <v>0.8</v>
      </c>
      <c r="AG251" s="25">
        <f t="shared" ref="AG251:AI251" si="767">AC251+AG250</f>
        <v>1</v>
      </c>
      <c r="AH251" s="25">
        <f t="shared" si="767"/>
        <v>28</v>
      </c>
      <c r="AI251" s="25">
        <f t="shared" si="767"/>
        <v>0</v>
      </c>
      <c r="AJ251" s="22">
        <f>AJ250/F251</f>
        <v>0.8117647059</v>
      </c>
      <c r="AK251" s="25">
        <f t="shared" ref="AK251:AM251" si="768">AG251+AK250</f>
        <v>1</v>
      </c>
      <c r="AL251" s="25">
        <f t="shared" si="768"/>
        <v>28</v>
      </c>
      <c r="AM251" s="25">
        <f t="shared" si="768"/>
        <v>0</v>
      </c>
      <c r="AN251" s="22">
        <f>AN250/F251</f>
        <v>0.8117647059</v>
      </c>
      <c r="AO251" s="25">
        <f t="shared" ref="AO251:AQ251" si="769">AK251+AO250</f>
        <v>1</v>
      </c>
      <c r="AP251" s="25">
        <f t="shared" si="769"/>
        <v>29</v>
      </c>
      <c r="AQ251" s="25">
        <f t="shared" si="769"/>
        <v>0</v>
      </c>
      <c r="AR251" s="22">
        <f>AR250/F251</f>
        <v>0.8235294118</v>
      </c>
      <c r="AS251" s="25">
        <f t="shared" ref="AS251:AU251" si="770">AO251+AS250</f>
        <v>1</v>
      </c>
      <c r="AT251" s="25">
        <f t="shared" si="770"/>
        <v>29</v>
      </c>
      <c r="AU251" s="25">
        <f t="shared" si="770"/>
        <v>0</v>
      </c>
      <c r="AV251" s="22">
        <f>AV250/F251</f>
        <v>0.8235294118</v>
      </c>
      <c r="AW251" s="25">
        <f t="shared" ref="AW251:AY251" si="771">AS251+AW250</f>
        <v>1</v>
      </c>
      <c r="AX251" s="25">
        <f t="shared" si="771"/>
        <v>29</v>
      </c>
      <c r="AY251" s="25">
        <f t="shared" si="771"/>
        <v>0</v>
      </c>
      <c r="AZ251" s="22">
        <f>AZ250/F251</f>
        <v>0.8235294118</v>
      </c>
      <c r="BA251" s="25">
        <f t="shared" ref="BA251:BC251" si="772">AW251+BA250</f>
        <v>2</v>
      </c>
      <c r="BB251" s="25">
        <f t="shared" si="772"/>
        <v>29</v>
      </c>
      <c r="BC251" s="25">
        <f t="shared" si="772"/>
        <v>0</v>
      </c>
      <c r="BD251" s="22">
        <f>BD250/F251</f>
        <v>0.8352941176</v>
      </c>
      <c r="BE251" s="25">
        <f t="shared" ref="BE251:BG251" si="773">BA251+BE250</f>
        <v>2</v>
      </c>
      <c r="BF251" s="25">
        <f t="shared" si="773"/>
        <v>29</v>
      </c>
      <c r="BG251" s="25">
        <f t="shared" si="773"/>
        <v>0</v>
      </c>
      <c r="BH251" s="22">
        <f>BH250/F251</f>
        <v>0.8352941176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31"/>
      <c r="I252" s="23"/>
      <c r="J252" s="3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33" t="s">
        <v>207</v>
      </c>
      <c r="B253" s="21"/>
      <c r="C253" s="21"/>
      <c r="D253" s="21"/>
      <c r="E253" s="21"/>
      <c r="F253" s="21"/>
      <c r="G253" s="22"/>
      <c r="H253" s="25"/>
      <c r="I253" s="23"/>
      <c r="J253" s="25"/>
      <c r="K253" s="21">
        <v>2025.0</v>
      </c>
      <c r="L253" s="21">
        <v>2025.0</v>
      </c>
      <c r="M253" s="21"/>
      <c r="N253" s="21"/>
      <c r="O253" s="21"/>
      <c r="P253" s="25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5.0</v>
      </c>
      <c r="D254" s="21">
        <v>3015.0</v>
      </c>
      <c r="E254" s="21">
        <v>19.0</v>
      </c>
      <c r="F254" s="35">
        <f t="shared" ref="F254:F257" si="774">E254+1</f>
        <v>20</v>
      </c>
      <c r="G254" s="22">
        <f t="shared" ref="G254:G257" si="775">$BH254/F254</f>
        <v>0.8</v>
      </c>
      <c r="H254" s="25">
        <v>16.0</v>
      </c>
      <c r="I254" s="23">
        <f t="shared" ref="I254:I257" si="776">+H254+J254</f>
        <v>16</v>
      </c>
      <c r="J254" s="25"/>
      <c r="K254" s="21">
        <v>2027.0</v>
      </c>
      <c r="L254" s="21">
        <v>2025.0</v>
      </c>
      <c r="M254" s="21"/>
      <c r="N254" s="21"/>
      <c r="O254" s="21"/>
      <c r="P254" s="25">
        <f t="shared" ref="P254:P257" si="777">SUM(M254:O254)+H254</f>
        <v>16</v>
      </c>
      <c r="Q254" s="21"/>
      <c r="R254" s="21"/>
      <c r="S254" s="21"/>
      <c r="T254" s="25">
        <f t="shared" ref="T254:T257" si="778">SUM(P254:S254)</f>
        <v>16</v>
      </c>
      <c r="U254" s="21"/>
      <c r="V254" s="21"/>
      <c r="W254" s="21"/>
      <c r="X254" s="25">
        <f t="shared" ref="X254:X257" si="779">SUM(T254:W254)</f>
        <v>16</v>
      </c>
      <c r="Y254" s="21"/>
      <c r="Z254" s="21"/>
      <c r="AA254" s="21"/>
      <c r="AB254" s="25">
        <f t="shared" ref="AB254:AB257" si="780">SUM(X254:AA254)</f>
        <v>16</v>
      </c>
      <c r="AC254" s="21"/>
      <c r="AD254" s="21"/>
      <c r="AE254" s="21"/>
      <c r="AF254" s="25">
        <f t="shared" ref="AF254:AF257" si="781">SUM(AB254:AE254)</f>
        <v>16</v>
      </c>
      <c r="AG254" s="21"/>
      <c r="AH254" s="21"/>
      <c r="AI254" s="21"/>
      <c r="AJ254" s="25">
        <f t="shared" ref="AJ254:AJ257" si="782">SUM(AF254:AI254)</f>
        <v>16</v>
      </c>
      <c r="AK254" s="21"/>
      <c r="AL254" s="21"/>
      <c r="AM254" s="21"/>
      <c r="AN254" s="25">
        <f t="shared" ref="AN254:AN257" si="783">SUM(AJ254:AM254)</f>
        <v>16</v>
      </c>
      <c r="AO254" s="21"/>
      <c r="AP254" s="21"/>
      <c r="AQ254" s="21"/>
      <c r="AR254" s="25">
        <f t="shared" ref="AR254:AR257" si="784">SUM(AN254:AQ254)</f>
        <v>16</v>
      </c>
      <c r="AS254" s="21"/>
      <c r="AT254" s="21"/>
      <c r="AU254" s="21"/>
      <c r="AV254" s="25">
        <f t="shared" ref="AV254:AV257" si="785">SUM(AR254:AU254)</f>
        <v>16</v>
      </c>
      <c r="AW254" s="21"/>
      <c r="AX254" s="21"/>
      <c r="AY254" s="21"/>
      <c r="AZ254" s="25">
        <f t="shared" ref="AZ254:AZ257" si="786">SUM(AV254:AY254)</f>
        <v>16</v>
      </c>
      <c r="BA254" s="21"/>
      <c r="BB254" s="21"/>
      <c r="BC254" s="21"/>
      <c r="BD254" s="25">
        <f t="shared" ref="BD254:BD257" si="787">SUM(AZ254:BC254)</f>
        <v>16</v>
      </c>
      <c r="BE254" s="21"/>
      <c r="BF254" s="21"/>
      <c r="BG254" s="21"/>
      <c r="BH254" s="25">
        <f t="shared" ref="BH254:BH257" si="788">SUM(BD254:BG254)</f>
        <v>16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52" t="s">
        <v>209</v>
      </c>
      <c r="C255" s="35">
        <v>7.0</v>
      </c>
      <c r="D255" s="35">
        <v>401.0</v>
      </c>
      <c r="E255" s="35">
        <v>28.0</v>
      </c>
      <c r="F255" s="35">
        <f t="shared" si="774"/>
        <v>29</v>
      </c>
      <c r="G255" s="22">
        <f t="shared" si="775"/>
        <v>0.4137931034</v>
      </c>
      <c r="H255" s="39">
        <v>12.0</v>
      </c>
      <c r="I255" s="38">
        <f t="shared" si="776"/>
        <v>12</v>
      </c>
      <c r="J255" s="39"/>
      <c r="K255" s="35">
        <v>2025.0</v>
      </c>
      <c r="L255" s="21">
        <v>2025.0</v>
      </c>
      <c r="M255" s="35"/>
      <c r="N255" s="35"/>
      <c r="O255" s="35"/>
      <c r="P255" s="39">
        <f t="shared" si="777"/>
        <v>12</v>
      </c>
      <c r="Q255" s="35"/>
      <c r="R255" s="35"/>
      <c r="S255" s="35"/>
      <c r="T255" s="39">
        <f t="shared" si="778"/>
        <v>12</v>
      </c>
      <c r="U255" s="35"/>
      <c r="V255" s="35"/>
      <c r="W255" s="35"/>
      <c r="X255" s="39">
        <f t="shared" si="779"/>
        <v>12</v>
      </c>
      <c r="Y255" s="35"/>
      <c r="Z255" s="35"/>
      <c r="AA255" s="35"/>
      <c r="AB255" s="39">
        <f t="shared" si="780"/>
        <v>12</v>
      </c>
      <c r="AC255" s="35"/>
      <c r="AD255" s="35"/>
      <c r="AE255" s="35"/>
      <c r="AF255" s="39">
        <f t="shared" si="781"/>
        <v>12</v>
      </c>
      <c r="AG255" s="35"/>
      <c r="AH255" s="35"/>
      <c r="AI255" s="35"/>
      <c r="AJ255" s="39">
        <f t="shared" si="782"/>
        <v>12</v>
      </c>
      <c r="AK255" s="35"/>
      <c r="AL255" s="35"/>
      <c r="AM255" s="35"/>
      <c r="AN255" s="39">
        <f t="shared" si="783"/>
        <v>12</v>
      </c>
      <c r="AO255" s="35"/>
      <c r="AP255" s="35"/>
      <c r="AQ255" s="35"/>
      <c r="AR255" s="39">
        <f t="shared" si="784"/>
        <v>12</v>
      </c>
      <c r="AS255" s="35"/>
      <c r="AT255" s="35"/>
      <c r="AU255" s="35"/>
      <c r="AV255" s="39">
        <f t="shared" si="785"/>
        <v>12</v>
      </c>
      <c r="AW255" s="35"/>
      <c r="AX255" s="35"/>
      <c r="AY255" s="35"/>
      <c r="AZ255" s="39">
        <f t="shared" si="786"/>
        <v>12</v>
      </c>
      <c r="BA255" s="35"/>
      <c r="BB255" s="35"/>
      <c r="BC255" s="35"/>
      <c r="BD255" s="39">
        <f t="shared" si="787"/>
        <v>12</v>
      </c>
      <c r="BE255" s="35"/>
      <c r="BF255" s="35"/>
      <c r="BG255" s="35"/>
      <c r="BH255" s="39">
        <f t="shared" si="788"/>
        <v>12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35" t="s">
        <v>210</v>
      </c>
      <c r="C256" s="35">
        <v>14.0</v>
      </c>
      <c r="D256" s="35">
        <v>614.0</v>
      </c>
      <c r="E256" s="35">
        <v>18.0</v>
      </c>
      <c r="F256" s="35">
        <f t="shared" si="774"/>
        <v>19</v>
      </c>
      <c r="G256" s="22">
        <f t="shared" si="775"/>
        <v>0.2631578947</v>
      </c>
      <c r="H256" s="39">
        <v>5.0</v>
      </c>
      <c r="I256" s="38">
        <f t="shared" si="776"/>
        <v>5</v>
      </c>
      <c r="J256" s="39"/>
      <c r="K256" s="35">
        <v>2025.0</v>
      </c>
      <c r="L256" s="21">
        <v>2025.0</v>
      </c>
      <c r="M256" s="35"/>
      <c r="N256" s="35"/>
      <c r="O256" s="35"/>
      <c r="P256" s="39">
        <f t="shared" si="777"/>
        <v>5</v>
      </c>
      <c r="Q256" s="35"/>
      <c r="R256" s="35"/>
      <c r="S256" s="35"/>
      <c r="T256" s="39">
        <f t="shared" si="778"/>
        <v>5</v>
      </c>
      <c r="U256" s="35"/>
      <c r="V256" s="35"/>
      <c r="W256" s="35"/>
      <c r="X256" s="39">
        <f t="shared" si="779"/>
        <v>5</v>
      </c>
      <c r="Y256" s="35"/>
      <c r="Z256" s="35"/>
      <c r="AA256" s="35"/>
      <c r="AB256" s="39">
        <f t="shared" si="780"/>
        <v>5</v>
      </c>
      <c r="AC256" s="35"/>
      <c r="AD256" s="35"/>
      <c r="AE256" s="35"/>
      <c r="AF256" s="39">
        <f t="shared" si="781"/>
        <v>5</v>
      </c>
      <c r="AG256" s="35"/>
      <c r="AH256" s="35"/>
      <c r="AI256" s="35"/>
      <c r="AJ256" s="39">
        <f t="shared" si="782"/>
        <v>5</v>
      </c>
      <c r="AK256" s="35"/>
      <c r="AL256" s="35"/>
      <c r="AM256" s="35"/>
      <c r="AN256" s="39">
        <f t="shared" si="783"/>
        <v>5</v>
      </c>
      <c r="AO256" s="35"/>
      <c r="AP256" s="35"/>
      <c r="AQ256" s="35"/>
      <c r="AR256" s="39">
        <f t="shared" si="784"/>
        <v>5</v>
      </c>
      <c r="AS256" s="35"/>
      <c r="AT256" s="35"/>
      <c r="AU256" s="35"/>
      <c r="AV256" s="39">
        <f t="shared" si="785"/>
        <v>5</v>
      </c>
      <c r="AW256" s="35"/>
      <c r="AX256" s="35"/>
      <c r="AY256" s="35"/>
      <c r="AZ256" s="39">
        <f t="shared" si="786"/>
        <v>5</v>
      </c>
      <c r="BA256" s="35"/>
      <c r="BB256" s="35"/>
      <c r="BC256" s="35"/>
      <c r="BD256" s="39">
        <f t="shared" si="787"/>
        <v>5</v>
      </c>
      <c r="BE256" s="35"/>
      <c r="BF256" s="35"/>
      <c r="BG256" s="35"/>
      <c r="BH256" s="39">
        <f t="shared" si="788"/>
        <v>5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211</v>
      </c>
      <c r="C257" s="21">
        <v>19.0</v>
      </c>
      <c r="D257" s="21">
        <v>10124.0</v>
      </c>
      <c r="E257" s="21">
        <v>32.0</v>
      </c>
      <c r="F257" s="35">
        <f t="shared" si="774"/>
        <v>33</v>
      </c>
      <c r="G257" s="22">
        <f t="shared" si="775"/>
        <v>0.696969697</v>
      </c>
      <c r="H257" s="25">
        <v>23.0</v>
      </c>
      <c r="I257" s="23">
        <f t="shared" si="776"/>
        <v>23</v>
      </c>
      <c r="J257" s="25"/>
      <c r="K257" s="21">
        <v>2025.0</v>
      </c>
      <c r="L257" s="21">
        <v>2025.0</v>
      </c>
      <c r="M257" s="21"/>
      <c r="N257" s="21"/>
      <c r="O257" s="21"/>
      <c r="P257" s="25">
        <f t="shared" si="777"/>
        <v>23</v>
      </c>
      <c r="Q257" s="21"/>
      <c r="R257" s="21"/>
      <c r="S257" s="21"/>
      <c r="T257" s="25">
        <f t="shared" si="778"/>
        <v>23</v>
      </c>
      <c r="U257" s="21"/>
      <c r="V257" s="21"/>
      <c r="W257" s="21"/>
      <c r="X257" s="25">
        <f t="shared" si="779"/>
        <v>23</v>
      </c>
      <c r="Y257" s="21"/>
      <c r="Z257" s="21"/>
      <c r="AA257" s="21"/>
      <c r="AB257" s="25">
        <f t="shared" si="780"/>
        <v>23</v>
      </c>
      <c r="AC257" s="21"/>
      <c r="AD257" s="21"/>
      <c r="AE257" s="21"/>
      <c r="AF257" s="25">
        <f t="shared" si="781"/>
        <v>23</v>
      </c>
      <c r="AG257" s="21"/>
      <c r="AH257" s="21"/>
      <c r="AI257" s="21"/>
      <c r="AJ257" s="25">
        <f t="shared" si="782"/>
        <v>23</v>
      </c>
      <c r="AK257" s="21"/>
      <c r="AL257" s="21"/>
      <c r="AM257" s="21"/>
      <c r="AN257" s="25">
        <f t="shared" si="783"/>
        <v>23</v>
      </c>
      <c r="AO257" s="21"/>
      <c r="AP257" s="21"/>
      <c r="AQ257" s="21"/>
      <c r="AR257" s="25">
        <f t="shared" si="784"/>
        <v>23</v>
      </c>
      <c r="AS257" s="21"/>
      <c r="AT257" s="21"/>
      <c r="AU257" s="21"/>
      <c r="AV257" s="25">
        <f t="shared" si="785"/>
        <v>23</v>
      </c>
      <c r="AW257" s="21"/>
      <c r="AX257" s="21"/>
      <c r="AY257" s="21"/>
      <c r="AZ257" s="25">
        <f t="shared" si="786"/>
        <v>23</v>
      </c>
      <c r="BA257" s="21"/>
      <c r="BB257" s="21"/>
      <c r="BC257" s="21"/>
      <c r="BD257" s="25">
        <f t="shared" si="787"/>
        <v>23</v>
      </c>
      <c r="BE257" s="21"/>
      <c r="BF257" s="21"/>
      <c r="BG257" s="21"/>
      <c r="BH257" s="25">
        <f t="shared" si="788"/>
        <v>23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24"/>
      <c r="B258" s="24"/>
      <c r="C258" s="24"/>
      <c r="D258" s="24"/>
      <c r="E258" s="24"/>
      <c r="F258" s="24"/>
      <c r="G258" s="24"/>
      <c r="H258" s="23"/>
      <c r="I258" s="23"/>
      <c r="J258" s="23"/>
      <c r="K258" s="24"/>
      <c r="L258" s="24"/>
      <c r="M258" s="23">
        <f t="shared" ref="M258:BH258" si="789">SUM(M253:M257)</f>
        <v>0</v>
      </c>
      <c r="N258" s="23">
        <f t="shared" si="789"/>
        <v>0</v>
      </c>
      <c r="O258" s="23">
        <f t="shared" si="789"/>
        <v>0</v>
      </c>
      <c r="P258" s="23">
        <f t="shared" si="789"/>
        <v>56</v>
      </c>
      <c r="Q258" s="23">
        <f t="shared" si="789"/>
        <v>0</v>
      </c>
      <c r="R258" s="23">
        <f t="shared" si="789"/>
        <v>0</v>
      </c>
      <c r="S258" s="23">
        <f t="shared" si="789"/>
        <v>0</v>
      </c>
      <c r="T258" s="23">
        <f t="shared" si="789"/>
        <v>56</v>
      </c>
      <c r="U258" s="23">
        <f t="shared" si="789"/>
        <v>0</v>
      </c>
      <c r="V258" s="23">
        <f t="shared" si="789"/>
        <v>0</v>
      </c>
      <c r="W258" s="23">
        <f t="shared" si="789"/>
        <v>0</v>
      </c>
      <c r="X258" s="23">
        <f t="shared" si="789"/>
        <v>56</v>
      </c>
      <c r="Y258" s="23">
        <f t="shared" si="789"/>
        <v>0</v>
      </c>
      <c r="Z258" s="23">
        <f t="shared" si="789"/>
        <v>0</v>
      </c>
      <c r="AA258" s="23">
        <f t="shared" si="789"/>
        <v>0</v>
      </c>
      <c r="AB258" s="23">
        <f t="shared" si="789"/>
        <v>56</v>
      </c>
      <c r="AC258" s="23">
        <f t="shared" si="789"/>
        <v>0</v>
      </c>
      <c r="AD258" s="23">
        <f t="shared" si="789"/>
        <v>0</v>
      </c>
      <c r="AE258" s="23">
        <f t="shared" si="789"/>
        <v>0</v>
      </c>
      <c r="AF258" s="23">
        <f t="shared" si="789"/>
        <v>56</v>
      </c>
      <c r="AG258" s="23">
        <f t="shared" si="789"/>
        <v>0</v>
      </c>
      <c r="AH258" s="23">
        <f t="shared" si="789"/>
        <v>0</v>
      </c>
      <c r="AI258" s="23">
        <f t="shared" si="789"/>
        <v>0</v>
      </c>
      <c r="AJ258" s="23">
        <f t="shared" si="789"/>
        <v>56</v>
      </c>
      <c r="AK258" s="23">
        <f t="shared" si="789"/>
        <v>0</v>
      </c>
      <c r="AL258" s="23">
        <f t="shared" si="789"/>
        <v>0</v>
      </c>
      <c r="AM258" s="23">
        <f t="shared" si="789"/>
        <v>0</v>
      </c>
      <c r="AN258" s="23">
        <f t="shared" si="789"/>
        <v>56</v>
      </c>
      <c r="AO258" s="23">
        <f t="shared" si="789"/>
        <v>0</v>
      </c>
      <c r="AP258" s="23">
        <f t="shared" si="789"/>
        <v>0</v>
      </c>
      <c r="AQ258" s="23">
        <f t="shared" si="789"/>
        <v>0</v>
      </c>
      <c r="AR258" s="23">
        <f t="shared" si="789"/>
        <v>56</v>
      </c>
      <c r="AS258" s="23">
        <f t="shared" si="789"/>
        <v>0</v>
      </c>
      <c r="AT258" s="23">
        <f t="shared" si="789"/>
        <v>0</v>
      </c>
      <c r="AU258" s="23">
        <f t="shared" si="789"/>
        <v>0</v>
      </c>
      <c r="AV258" s="23">
        <f t="shared" si="789"/>
        <v>56</v>
      </c>
      <c r="AW258" s="23">
        <f t="shared" si="789"/>
        <v>0</v>
      </c>
      <c r="AX258" s="23">
        <f t="shared" si="789"/>
        <v>0</v>
      </c>
      <c r="AY258" s="23">
        <f t="shared" si="789"/>
        <v>0</v>
      </c>
      <c r="AZ258" s="23">
        <f t="shared" si="789"/>
        <v>56</v>
      </c>
      <c r="BA258" s="23">
        <f t="shared" si="789"/>
        <v>0</v>
      </c>
      <c r="BB258" s="23">
        <f t="shared" si="789"/>
        <v>0</v>
      </c>
      <c r="BC258" s="23">
        <f t="shared" si="789"/>
        <v>0</v>
      </c>
      <c r="BD258" s="23">
        <f t="shared" si="789"/>
        <v>56</v>
      </c>
      <c r="BE258" s="23">
        <f t="shared" si="789"/>
        <v>0</v>
      </c>
      <c r="BF258" s="23">
        <f t="shared" si="789"/>
        <v>0</v>
      </c>
      <c r="BG258" s="23">
        <f t="shared" si="789"/>
        <v>0</v>
      </c>
      <c r="BH258" s="23">
        <f t="shared" si="789"/>
        <v>56</v>
      </c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35</v>
      </c>
      <c r="C259" s="21">
        <f>COUNT(C254:C257)</f>
        <v>4</v>
      </c>
      <c r="D259" s="21"/>
      <c r="E259" s="21">
        <f>SUM(E253:E257)</f>
        <v>97</v>
      </c>
      <c r="F259" s="21">
        <f>SUM(E253:E257)+1</f>
        <v>98</v>
      </c>
      <c r="G259" s="22">
        <f>$BH258/F259</f>
        <v>0.5714285714</v>
      </c>
      <c r="H259" s="25">
        <f t="shared" ref="H259:J259" si="790">SUM(H253:H257)</f>
        <v>56</v>
      </c>
      <c r="I259" s="25">
        <f t="shared" si="790"/>
        <v>56</v>
      </c>
      <c r="J259" s="25">
        <f t="shared" si="790"/>
        <v>0</v>
      </c>
      <c r="K259" s="21"/>
      <c r="L259" s="21"/>
      <c r="M259" s="21"/>
      <c r="N259" s="21"/>
      <c r="O259" s="21"/>
      <c r="P259" s="22">
        <f>P258/F259</f>
        <v>0.5714285714</v>
      </c>
      <c r="Q259" s="25">
        <f t="shared" ref="Q259:S259" si="791">M258+Q258</f>
        <v>0</v>
      </c>
      <c r="R259" s="25">
        <f t="shared" si="791"/>
        <v>0</v>
      </c>
      <c r="S259" s="25">
        <f t="shared" si="791"/>
        <v>0</v>
      </c>
      <c r="T259" s="22">
        <f>T258/F259</f>
        <v>0.5714285714</v>
      </c>
      <c r="U259" s="25">
        <f t="shared" ref="U259:W259" si="792">Q259+U258</f>
        <v>0</v>
      </c>
      <c r="V259" s="25">
        <f t="shared" si="792"/>
        <v>0</v>
      </c>
      <c r="W259" s="25">
        <f t="shared" si="792"/>
        <v>0</v>
      </c>
      <c r="X259" s="22">
        <f>X258/F259</f>
        <v>0.5714285714</v>
      </c>
      <c r="Y259" s="25">
        <f t="shared" ref="Y259:AA259" si="793">U259+Y258</f>
        <v>0</v>
      </c>
      <c r="Z259" s="25">
        <f t="shared" si="793"/>
        <v>0</v>
      </c>
      <c r="AA259" s="25">
        <f t="shared" si="793"/>
        <v>0</v>
      </c>
      <c r="AB259" s="22">
        <f>AB258/F259</f>
        <v>0.5714285714</v>
      </c>
      <c r="AC259" s="25">
        <f t="shared" ref="AC259:AE259" si="794">Y259+AC258</f>
        <v>0</v>
      </c>
      <c r="AD259" s="25">
        <f t="shared" si="794"/>
        <v>0</v>
      </c>
      <c r="AE259" s="25">
        <f t="shared" si="794"/>
        <v>0</v>
      </c>
      <c r="AF259" s="22">
        <f>AF258/F259</f>
        <v>0.5714285714</v>
      </c>
      <c r="AG259" s="25">
        <f t="shared" ref="AG259:AI259" si="795">AC259+AG258</f>
        <v>0</v>
      </c>
      <c r="AH259" s="25">
        <f t="shared" si="795"/>
        <v>0</v>
      </c>
      <c r="AI259" s="25">
        <f t="shared" si="795"/>
        <v>0</v>
      </c>
      <c r="AJ259" s="22">
        <f>AJ258/F259</f>
        <v>0.5714285714</v>
      </c>
      <c r="AK259" s="25">
        <f t="shared" ref="AK259:AM259" si="796">AG259+AK258</f>
        <v>0</v>
      </c>
      <c r="AL259" s="25">
        <f t="shared" si="796"/>
        <v>0</v>
      </c>
      <c r="AM259" s="25">
        <f t="shared" si="796"/>
        <v>0</v>
      </c>
      <c r="AN259" s="22">
        <f>AN258/F259</f>
        <v>0.5714285714</v>
      </c>
      <c r="AO259" s="25">
        <f t="shared" ref="AO259:AQ259" si="797">AK259+AO258</f>
        <v>0</v>
      </c>
      <c r="AP259" s="25">
        <f t="shared" si="797"/>
        <v>0</v>
      </c>
      <c r="AQ259" s="25">
        <f t="shared" si="797"/>
        <v>0</v>
      </c>
      <c r="AR259" s="22">
        <f>AR258/F259</f>
        <v>0.5714285714</v>
      </c>
      <c r="AS259" s="25">
        <f t="shared" ref="AS259:AU259" si="798">AO259+AS258</f>
        <v>0</v>
      </c>
      <c r="AT259" s="25">
        <f t="shared" si="798"/>
        <v>0</v>
      </c>
      <c r="AU259" s="25">
        <f t="shared" si="798"/>
        <v>0</v>
      </c>
      <c r="AV259" s="22">
        <f>AV258/F259</f>
        <v>0.5714285714</v>
      </c>
      <c r="AW259" s="25">
        <f t="shared" ref="AW259:AY259" si="799">AS259+AW258</f>
        <v>0</v>
      </c>
      <c r="AX259" s="25">
        <f t="shared" si="799"/>
        <v>0</v>
      </c>
      <c r="AY259" s="25">
        <f t="shared" si="799"/>
        <v>0</v>
      </c>
      <c r="AZ259" s="22">
        <f>AZ258/F259</f>
        <v>0.5714285714</v>
      </c>
      <c r="BA259" s="25">
        <f t="shared" ref="BA259:BC259" si="800">AW259+BA258</f>
        <v>0</v>
      </c>
      <c r="BB259" s="25">
        <f t="shared" si="800"/>
        <v>0</v>
      </c>
      <c r="BC259" s="25">
        <f t="shared" si="800"/>
        <v>0</v>
      </c>
      <c r="BD259" s="22">
        <f>BD258/F259</f>
        <v>0.5714285714</v>
      </c>
      <c r="BE259" s="25">
        <f t="shared" ref="BE259:BG259" si="801">BA259+BE258</f>
        <v>0</v>
      </c>
      <c r="BF259" s="25">
        <f t="shared" si="801"/>
        <v>0</v>
      </c>
      <c r="BG259" s="25">
        <f t="shared" si="801"/>
        <v>0</v>
      </c>
      <c r="BH259" s="22">
        <f>BH258/F259</f>
        <v>0.5714285714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31"/>
      <c r="I260" s="23"/>
      <c r="J260" s="3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3.5" customHeight="1">
      <c r="A261" s="33" t="s">
        <v>212</v>
      </c>
      <c r="B261" s="21"/>
      <c r="C261" s="21"/>
      <c r="D261" s="21"/>
      <c r="E261" s="21"/>
      <c r="F261" s="21"/>
      <c r="G261" s="22"/>
      <c r="H261" s="25"/>
      <c r="I261" s="23"/>
      <c r="J261" s="25"/>
      <c r="K261" s="21">
        <v>2027.0</v>
      </c>
      <c r="L261" s="21">
        <v>2025.0</v>
      </c>
      <c r="M261" s="21"/>
      <c r="N261" s="21"/>
      <c r="O261" s="21"/>
      <c r="P261" s="25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21" t="s">
        <v>213</v>
      </c>
      <c r="C262" s="21">
        <v>2.0</v>
      </c>
      <c r="D262" s="21">
        <v>7227.0</v>
      </c>
      <c r="E262" s="21">
        <v>42.0</v>
      </c>
      <c r="F262" s="35">
        <f t="shared" ref="F262:F268" si="802">E262+1</f>
        <v>43</v>
      </c>
      <c r="G262" s="22">
        <f t="shared" ref="G262:G268" si="803">$BH262/F262</f>
        <v>0.5813953488</v>
      </c>
      <c r="H262" s="25">
        <v>12.0</v>
      </c>
      <c r="I262" s="23">
        <f t="shared" ref="I262:I268" si="804">+H262+J262</f>
        <v>13</v>
      </c>
      <c r="J262" s="25">
        <v>1.0</v>
      </c>
      <c r="K262" s="21">
        <v>2027.0</v>
      </c>
      <c r="L262" s="21">
        <v>2025.0</v>
      </c>
      <c r="M262" s="21"/>
      <c r="N262" s="21"/>
      <c r="O262" s="21"/>
      <c r="P262" s="25">
        <f t="shared" ref="P262:P268" si="805">SUM(M262:O262)+H262</f>
        <v>12</v>
      </c>
      <c r="Q262" s="21"/>
      <c r="R262" s="21">
        <v>10.0</v>
      </c>
      <c r="S262" s="21"/>
      <c r="T262" s="25">
        <f t="shared" ref="T262:T268" si="806">SUM(P262:S262)</f>
        <v>22</v>
      </c>
      <c r="U262" s="21"/>
      <c r="V262" s="21"/>
      <c r="W262" s="21"/>
      <c r="X262" s="25">
        <f t="shared" ref="X262:X268" si="807">SUM(T262:W262)</f>
        <v>22</v>
      </c>
      <c r="Y262" s="21"/>
      <c r="Z262" s="21"/>
      <c r="AA262" s="21"/>
      <c r="AB262" s="25">
        <f t="shared" ref="AB262:AB268" si="808">SUM(X262:AA262)</f>
        <v>22</v>
      </c>
      <c r="AC262" s="21"/>
      <c r="AD262" s="21"/>
      <c r="AE262" s="21"/>
      <c r="AF262" s="25">
        <f t="shared" ref="AF262:AF268" si="809">SUM(AB262:AE262)</f>
        <v>22</v>
      </c>
      <c r="AG262" s="21"/>
      <c r="AH262" s="21"/>
      <c r="AI262" s="21"/>
      <c r="AJ262" s="25">
        <f t="shared" ref="AJ262:AJ268" si="810">SUM(AF262:AI262)</f>
        <v>22</v>
      </c>
      <c r="AK262" s="21"/>
      <c r="AL262" s="21"/>
      <c r="AM262" s="21"/>
      <c r="AN262" s="25">
        <f t="shared" ref="AN262:AN268" si="811">SUM(AJ262:AM262)</f>
        <v>22</v>
      </c>
      <c r="AO262" s="21"/>
      <c r="AP262" s="21"/>
      <c r="AQ262" s="21"/>
      <c r="AR262" s="25">
        <f t="shared" ref="AR262:AR268" si="812">SUM(AN262:AQ262)</f>
        <v>22</v>
      </c>
      <c r="AS262" s="21"/>
      <c r="AT262" s="21"/>
      <c r="AU262" s="21"/>
      <c r="AV262" s="25">
        <f t="shared" ref="AV262:AV268" si="813">SUM(AR262:AU262)</f>
        <v>22</v>
      </c>
      <c r="AW262" s="21"/>
      <c r="AX262" s="21"/>
      <c r="AY262" s="21"/>
      <c r="AZ262" s="25">
        <f t="shared" ref="AZ262:AZ268" si="814">SUM(AV262:AY262)</f>
        <v>22</v>
      </c>
      <c r="BA262" s="21"/>
      <c r="BB262" s="21"/>
      <c r="BC262" s="21"/>
      <c r="BD262" s="25">
        <f t="shared" ref="BD262:BD268" si="815">SUM(AZ262:BC262)</f>
        <v>22</v>
      </c>
      <c r="BE262" s="21"/>
      <c r="BF262" s="18">
        <v>3.0</v>
      </c>
      <c r="BG262" s="21"/>
      <c r="BH262" s="25">
        <f t="shared" ref="BH262:BH268" si="816">SUM(BD262:BG262)</f>
        <v>25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125">
        <v>9.75</v>
      </c>
      <c r="D263" s="21"/>
      <c r="E263" s="21">
        <v>25.0</v>
      </c>
      <c r="F263" s="35">
        <f t="shared" si="802"/>
        <v>26</v>
      </c>
      <c r="G263" s="22">
        <f t="shared" si="803"/>
        <v>0.9230769231</v>
      </c>
      <c r="H263" s="25">
        <v>5.0</v>
      </c>
      <c r="I263" s="23">
        <f t="shared" si="804"/>
        <v>5</v>
      </c>
      <c r="J263" s="25"/>
      <c r="K263" s="21">
        <v>2023.0</v>
      </c>
      <c r="L263" s="21">
        <v>2025.0</v>
      </c>
      <c r="M263" s="21"/>
      <c r="N263" s="21">
        <v>19.0</v>
      </c>
      <c r="O263" s="21"/>
      <c r="P263" s="25">
        <f t="shared" si="805"/>
        <v>24</v>
      </c>
      <c r="Q263" s="21"/>
      <c r="R263" s="21"/>
      <c r="S263" s="21"/>
      <c r="T263" s="25">
        <f t="shared" si="806"/>
        <v>24</v>
      </c>
      <c r="U263" s="21"/>
      <c r="V263" s="21"/>
      <c r="W263" s="21"/>
      <c r="X263" s="25">
        <f t="shared" si="807"/>
        <v>24</v>
      </c>
      <c r="Y263" s="21"/>
      <c r="Z263" s="21"/>
      <c r="AA263" s="21"/>
      <c r="AB263" s="25">
        <f t="shared" si="808"/>
        <v>24</v>
      </c>
      <c r="AC263" s="21"/>
      <c r="AD263" s="21"/>
      <c r="AE263" s="21"/>
      <c r="AF263" s="25">
        <f t="shared" si="809"/>
        <v>24</v>
      </c>
      <c r="AG263" s="21"/>
      <c r="AH263" s="21"/>
      <c r="AI263" s="21"/>
      <c r="AJ263" s="25">
        <f t="shared" si="810"/>
        <v>24</v>
      </c>
      <c r="AK263" s="21"/>
      <c r="AL263" s="21"/>
      <c r="AM263" s="21"/>
      <c r="AN263" s="25">
        <f t="shared" si="811"/>
        <v>24</v>
      </c>
      <c r="AO263" s="21"/>
      <c r="AP263" s="21"/>
      <c r="AQ263" s="21"/>
      <c r="AR263" s="25">
        <f t="shared" si="812"/>
        <v>24</v>
      </c>
      <c r="AS263" s="21"/>
      <c r="AT263" s="21"/>
      <c r="AU263" s="21"/>
      <c r="AV263" s="25">
        <f t="shared" si="813"/>
        <v>24</v>
      </c>
      <c r="AW263" s="21"/>
      <c r="AX263" s="21"/>
      <c r="AY263" s="21"/>
      <c r="AZ263" s="25">
        <f t="shared" si="814"/>
        <v>24</v>
      </c>
      <c r="BA263" s="21"/>
      <c r="BB263" s="21"/>
      <c r="BC263" s="21"/>
      <c r="BD263" s="25">
        <f t="shared" si="815"/>
        <v>24</v>
      </c>
      <c r="BE263" s="21"/>
      <c r="BF263" s="21"/>
      <c r="BG263" s="21"/>
      <c r="BH263" s="25">
        <f t="shared" si="816"/>
        <v>24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26" t="s">
        <v>215</v>
      </c>
      <c r="C264" s="127">
        <v>32.0</v>
      </c>
      <c r="D264" s="127">
        <v>7290.0</v>
      </c>
      <c r="E264" s="127">
        <v>12.0</v>
      </c>
      <c r="F264" s="35">
        <f t="shared" si="802"/>
        <v>13</v>
      </c>
      <c r="G264" s="22">
        <f t="shared" si="803"/>
        <v>0.9230769231</v>
      </c>
      <c r="H264" s="25">
        <v>12.0</v>
      </c>
      <c r="I264" s="23">
        <f t="shared" si="804"/>
        <v>12</v>
      </c>
      <c r="J264" s="25"/>
      <c r="K264" s="21">
        <v>2025.0</v>
      </c>
      <c r="L264" s="21">
        <v>2024.0</v>
      </c>
      <c r="M264" s="21"/>
      <c r="N264" s="21"/>
      <c r="O264" s="21"/>
      <c r="P264" s="25">
        <f t="shared" si="805"/>
        <v>12</v>
      </c>
      <c r="Q264" s="21"/>
      <c r="R264" s="21"/>
      <c r="S264" s="21"/>
      <c r="T264" s="25">
        <f t="shared" si="806"/>
        <v>12</v>
      </c>
      <c r="U264" s="21"/>
      <c r="V264" s="21"/>
      <c r="W264" s="21"/>
      <c r="X264" s="25">
        <f t="shared" si="807"/>
        <v>12</v>
      </c>
      <c r="Y264" s="21"/>
      <c r="Z264" s="21"/>
      <c r="AA264" s="21"/>
      <c r="AB264" s="25">
        <f t="shared" si="808"/>
        <v>12</v>
      </c>
      <c r="AC264" s="21"/>
      <c r="AD264" s="21"/>
      <c r="AE264" s="21"/>
      <c r="AF264" s="25">
        <f t="shared" si="809"/>
        <v>12</v>
      </c>
      <c r="AG264" s="21"/>
      <c r="AH264" s="21"/>
      <c r="AI264" s="21"/>
      <c r="AJ264" s="25">
        <f t="shared" si="810"/>
        <v>12</v>
      </c>
      <c r="AK264" s="21"/>
      <c r="AL264" s="21"/>
      <c r="AM264" s="21"/>
      <c r="AN264" s="25">
        <f t="shared" si="811"/>
        <v>12</v>
      </c>
      <c r="AO264" s="21"/>
      <c r="AP264" s="21"/>
      <c r="AQ264" s="21"/>
      <c r="AR264" s="25">
        <f t="shared" si="812"/>
        <v>12</v>
      </c>
      <c r="AS264" s="21"/>
      <c r="AT264" s="21"/>
      <c r="AU264" s="21"/>
      <c r="AV264" s="25">
        <f t="shared" si="813"/>
        <v>12</v>
      </c>
      <c r="AW264" s="21"/>
      <c r="AX264" s="21"/>
      <c r="AY264" s="21"/>
      <c r="AZ264" s="25">
        <f t="shared" si="814"/>
        <v>12</v>
      </c>
      <c r="BA264" s="21"/>
      <c r="BB264" s="21"/>
      <c r="BC264" s="21"/>
      <c r="BD264" s="25">
        <f t="shared" si="815"/>
        <v>12</v>
      </c>
      <c r="BE264" s="21"/>
      <c r="BF264" s="21"/>
      <c r="BG264" s="21"/>
      <c r="BH264" s="25">
        <f t="shared" si="816"/>
        <v>12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42.0</v>
      </c>
      <c r="D265" s="35">
        <v>1896.0</v>
      </c>
      <c r="E265" s="35">
        <v>17.0</v>
      </c>
      <c r="F265" s="35">
        <f t="shared" si="802"/>
        <v>18</v>
      </c>
      <c r="G265" s="22">
        <f t="shared" si="803"/>
        <v>0.9444444444</v>
      </c>
      <c r="H265" s="39">
        <v>12.0</v>
      </c>
      <c r="I265" s="38">
        <f t="shared" si="804"/>
        <v>12</v>
      </c>
      <c r="J265" s="39"/>
      <c r="K265" s="35">
        <v>2023.0</v>
      </c>
      <c r="L265" s="35">
        <v>2025.0</v>
      </c>
      <c r="M265" s="35"/>
      <c r="N265" s="35">
        <v>4.0</v>
      </c>
      <c r="O265" s="35"/>
      <c r="P265" s="39">
        <f t="shared" si="805"/>
        <v>16</v>
      </c>
      <c r="Q265" s="35"/>
      <c r="R265" s="35"/>
      <c r="S265" s="35"/>
      <c r="T265" s="39">
        <f t="shared" si="806"/>
        <v>16</v>
      </c>
      <c r="U265" s="35"/>
      <c r="V265" s="35"/>
      <c r="W265" s="35"/>
      <c r="X265" s="39">
        <f t="shared" si="807"/>
        <v>16</v>
      </c>
      <c r="Y265" s="35"/>
      <c r="Z265" s="35"/>
      <c r="AA265" s="35"/>
      <c r="AB265" s="39">
        <f t="shared" si="808"/>
        <v>16</v>
      </c>
      <c r="AC265" s="35"/>
      <c r="AD265" s="35"/>
      <c r="AE265" s="35"/>
      <c r="AF265" s="39">
        <f t="shared" si="809"/>
        <v>16</v>
      </c>
      <c r="AG265" s="35"/>
      <c r="AH265" s="35"/>
      <c r="AI265" s="35"/>
      <c r="AJ265" s="39">
        <f t="shared" si="810"/>
        <v>16</v>
      </c>
      <c r="AK265" s="35"/>
      <c r="AL265" s="35"/>
      <c r="AM265" s="35"/>
      <c r="AN265" s="39">
        <f t="shared" si="811"/>
        <v>16</v>
      </c>
      <c r="AO265" s="35"/>
      <c r="AP265" s="35"/>
      <c r="AQ265" s="35"/>
      <c r="AR265" s="39">
        <f t="shared" si="812"/>
        <v>16</v>
      </c>
      <c r="AS265" s="35"/>
      <c r="AT265" s="35"/>
      <c r="AU265" s="35"/>
      <c r="AV265" s="39">
        <f t="shared" si="813"/>
        <v>16</v>
      </c>
      <c r="AW265" s="41">
        <v>1.0</v>
      </c>
      <c r="AX265" s="35"/>
      <c r="AY265" s="35"/>
      <c r="AZ265" s="39">
        <f t="shared" si="814"/>
        <v>17</v>
      </c>
      <c r="BA265" s="35"/>
      <c r="BB265" s="35"/>
      <c r="BC265" s="35"/>
      <c r="BD265" s="39">
        <f t="shared" si="815"/>
        <v>17</v>
      </c>
      <c r="BE265" s="35"/>
      <c r="BF265" s="35"/>
      <c r="BG265" s="35"/>
      <c r="BH265" s="39">
        <f t="shared" si="816"/>
        <v>17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21" t="s">
        <v>217</v>
      </c>
      <c r="C266" s="21">
        <v>54.0</v>
      </c>
      <c r="D266" s="21">
        <v>463.0</v>
      </c>
      <c r="E266" s="21">
        <v>31.0</v>
      </c>
      <c r="F266" s="35">
        <f t="shared" si="802"/>
        <v>32</v>
      </c>
      <c r="G266" s="22">
        <f t="shared" si="803"/>
        <v>0.65625</v>
      </c>
      <c r="H266" s="25">
        <v>17.0</v>
      </c>
      <c r="I266" s="23">
        <f t="shared" si="804"/>
        <v>17</v>
      </c>
      <c r="J266" s="25"/>
      <c r="K266" s="21">
        <v>2027.0</v>
      </c>
      <c r="L266" s="21">
        <v>2025.0</v>
      </c>
      <c r="M266" s="21"/>
      <c r="N266" s="21">
        <v>4.0</v>
      </c>
      <c r="O266" s="21"/>
      <c r="P266" s="25">
        <f t="shared" si="805"/>
        <v>21</v>
      </c>
      <c r="Q266" s="21"/>
      <c r="R266" s="21"/>
      <c r="S266" s="21"/>
      <c r="T266" s="25">
        <f t="shared" si="806"/>
        <v>21</v>
      </c>
      <c r="U266" s="21"/>
      <c r="V266" s="21"/>
      <c r="W266" s="21"/>
      <c r="X266" s="25">
        <f t="shared" si="807"/>
        <v>21</v>
      </c>
      <c r="Y266" s="21"/>
      <c r="Z266" s="21"/>
      <c r="AA266" s="21"/>
      <c r="AB266" s="25">
        <f t="shared" si="808"/>
        <v>21</v>
      </c>
      <c r="AC266" s="21"/>
      <c r="AD266" s="21"/>
      <c r="AE266" s="21"/>
      <c r="AF266" s="25">
        <f t="shared" si="809"/>
        <v>21</v>
      </c>
      <c r="AG266" s="21"/>
      <c r="AH266" s="21"/>
      <c r="AI266" s="21"/>
      <c r="AJ266" s="25">
        <f t="shared" si="810"/>
        <v>21</v>
      </c>
      <c r="AK266" s="21"/>
      <c r="AL266" s="21"/>
      <c r="AM266" s="21"/>
      <c r="AN266" s="25">
        <f t="shared" si="811"/>
        <v>21</v>
      </c>
      <c r="AO266" s="21"/>
      <c r="AP266" s="21"/>
      <c r="AQ266" s="21"/>
      <c r="AR266" s="25">
        <f t="shared" si="812"/>
        <v>21</v>
      </c>
      <c r="AS266" s="21"/>
      <c r="AT266" s="21"/>
      <c r="AU266" s="21"/>
      <c r="AV266" s="25">
        <f t="shared" si="813"/>
        <v>21</v>
      </c>
      <c r="AW266" s="21"/>
      <c r="AX266" s="21"/>
      <c r="AY266" s="21"/>
      <c r="AZ266" s="25">
        <f t="shared" si="814"/>
        <v>21</v>
      </c>
      <c r="BA266" s="21"/>
      <c r="BB266" s="21"/>
      <c r="BC266" s="21"/>
      <c r="BD266" s="25">
        <f t="shared" si="815"/>
        <v>21</v>
      </c>
      <c r="BE266" s="21"/>
      <c r="BF266" s="21"/>
      <c r="BG266" s="21"/>
      <c r="BH266" s="25">
        <f t="shared" si="816"/>
        <v>21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126" t="s">
        <v>218</v>
      </c>
      <c r="C267" s="127">
        <v>65.0</v>
      </c>
      <c r="D267" s="127">
        <v>2937.0</v>
      </c>
      <c r="E267" s="127">
        <v>25.0</v>
      </c>
      <c r="F267" s="35">
        <f t="shared" si="802"/>
        <v>26</v>
      </c>
      <c r="G267" s="22">
        <f t="shared" si="803"/>
        <v>0.3461538462</v>
      </c>
      <c r="H267" s="25">
        <v>9.0</v>
      </c>
      <c r="I267" s="23">
        <f t="shared" si="804"/>
        <v>9</v>
      </c>
      <c r="J267" s="25"/>
      <c r="K267" s="21">
        <v>2023.0</v>
      </c>
      <c r="L267" s="21">
        <v>2025.0</v>
      </c>
      <c r="M267" s="21"/>
      <c r="N267" s="21"/>
      <c r="O267" s="21"/>
      <c r="P267" s="25">
        <f t="shared" si="805"/>
        <v>9</v>
      </c>
      <c r="Q267" s="21"/>
      <c r="R267" s="21"/>
      <c r="S267" s="21"/>
      <c r="T267" s="25">
        <f t="shared" si="806"/>
        <v>9</v>
      </c>
      <c r="U267" s="21"/>
      <c r="V267" s="21"/>
      <c r="W267" s="21"/>
      <c r="X267" s="25">
        <f t="shared" si="807"/>
        <v>9</v>
      </c>
      <c r="Y267" s="21"/>
      <c r="Z267" s="21"/>
      <c r="AA267" s="21"/>
      <c r="AB267" s="25">
        <f t="shared" si="808"/>
        <v>9</v>
      </c>
      <c r="AC267" s="21"/>
      <c r="AD267" s="21"/>
      <c r="AE267" s="21"/>
      <c r="AF267" s="25">
        <f t="shared" si="809"/>
        <v>9</v>
      </c>
      <c r="AG267" s="21"/>
      <c r="AH267" s="21"/>
      <c r="AI267" s="21"/>
      <c r="AJ267" s="25">
        <f t="shared" si="810"/>
        <v>9</v>
      </c>
      <c r="AK267" s="21"/>
      <c r="AL267" s="21"/>
      <c r="AM267" s="21"/>
      <c r="AN267" s="25">
        <f t="shared" si="811"/>
        <v>9</v>
      </c>
      <c r="AO267" s="21"/>
      <c r="AP267" s="21"/>
      <c r="AQ267" s="21"/>
      <c r="AR267" s="25">
        <f t="shared" si="812"/>
        <v>9</v>
      </c>
      <c r="AS267" s="21"/>
      <c r="AT267" s="21"/>
      <c r="AU267" s="21"/>
      <c r="AV267" s="25">
        <f t="shared" si="813"/>
        <v>9</v>
      </c>
      <c r="AW267" s="21"/>
      <c r="AX267" s="21"/>
      <c r="AY267" s="21"/>
      <c r="AZ267" s="25">
        <f t="shared" si="814"/>
        <v>9</v>
      </c>
      <c r="BA267" s="21"/>
      <c r="BB267" s="21"/>
      <c r="BC267" s="21"/>
      <c r="BD267" s="25">
        <f t="shared" si="815"/>
        <v>9</v>
      </c>
      <c r="BE267" s="21"/>
      <c r="BF267" s="21"/>
      <c r="BG267" s="21"/>
      <c r="BH267" s="25">
        <f t="shared" si="816"/>
        <v>9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35" t="s">
        <v>219</v>
      </c>
      <c r="C268" s="35">
        <v>69.0</v>
      </c>
      <c r="D268" s="35">
        <v>2770.0</v>
      </c>
      <c r="E268" s="35">
        <v>24.0</v>
      </c>
      <c r="F268" s="35">
        <f t="shared" si="802"/>
        <v>25</v>
      </c>
      <c r="G268" s="63">
        <f t="shared" si="803"/>
        <v>0.44</v>
      </c>
      <c r="H268" s="39">
        <v>11.0</v>
      </c>
      <c r="I268" s="38">
        <f t="shared" si="804"/>
        <v>12</v>
      </c>
      <c r="J268" s="73">
        <v>1.0</v>
      </c>
      <c r="K268" s="35">
        <v>2027.0</v>
      </c>
      <c r="L268" s="35">
        <v>2025.0</v>
      </c>
      <c r="M268" s="35"/>
      <c r="N268" s="35"/>
      <c r="O268" s="35"/>
      <c r="P268" s="39">
        <f t="shared" si="805"/>
        <v>11</v>
      </c>
      <c r="Q268" s="35"/>
      <c r="R268" s="35"/>
      <c r="S268" s="35"/>
      <c r="T268" s="39">
        <f t="shared" si="806"/>
        <v>11</v>
      </c>
      <c r="U268" s="35"/>
      <c r="V268" s="35"/>
      <c r="W268" s="35"/>
      <c r="X268" s="39">
        <f t="shared" si="807"/>
        <v>11</v>
      </c>
      <c r="Y268" s="35"/>
      <c r="Z268" s="35"/>
      <c r="AA268" s="35"/>
      <c r="AB268" s="39">
        <f t="shared" si="808"/>
        <v>11</v>
      </c>
      <c r="AC268" s="35"/>
      <c r="AD268" s="35"/>
      <c r="AE268" s="35"/>
      <c r="AF268" s="39">
        <f t="shared" si="809"/>
        <v>11</v>
      </c>
      <c r="AG268" s="35"/>
      <c r="AH268" s="35"/>
      <c r="AI268" s="35"/>
      <c r="AJ268" s="39">
        <f t="shared" si="810"/>
        <v>11</v>
      </c>
      <c r="AK268" s="35"/>
      <c r="AL268" s="35"/>
      <c r="AM268" s="35"/>
      <c r="AN268" s="39">
        <f t="shared" si="811"/>
        <v>11</v>
      </c>
      <c r="AO268" s="35"/>
      <c r="AP268" s="35"/>
      <c r="AQ268" s="35"/>
      <c r="AR268" s="39">
        <f t="shared" si="812"/>
        <v>11</v>
      </c>
      <c r="AS268" s="35"/>
      <c r="AT268" s="35"/>
      <c r="AU268" s="35"/>
      <c r="AV268" s="39">
        <f t="shared" si="813"/>
        <v>11</v>
      </c>
      <c r="AW268" s="35"/>
      <c r="AX268" s="35"/>
      <c r="AY268" s="35"/>
      <c r="AZ268" s="39">
        <f t="shared" si="814"/>
        <v>11</v>
      </c>
      <c r="BA268" s="35"/>
      <c r="BB268" s="35"/>
      <c r="BC268" s="35"/>
      <c r="BD268" s="39">
        <f t="shared" si="815"/>
        <v>11</v>
      </c>
      <c r="BE268" s="35"/>
      <c r="BF268" s="35"/>
      <c r="BG268" s="35"/>
      <c r="BH268" s="39">
        <f t="shared" si="816"/>
        <v>11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24"/>
      <c r="B269" s="24"/>
      <c r="C269" s="24"/>
      <c r="D269" s="24"/>
      <c r="E269" s="24"/>
      <c r="F269" s="24"/>
      <c r="G269" s="24"/>
      <c r="H269" s="23"/>
      <c r="I269" s="23"/>
      <c r="J269" s="23"/>
      <c r="K269" s="24"/>
      <c r="L269" s="24"/>
      <c r="M269" s="23">
        <f t="shared" ref="M269:BH269" si="817">SUM(M261:M268)</f>
        <v>0</v>
      </c>
      <c r="N269" s="23">
        <f t="shared" si="817"/>
        <v>27</v>
      </c>
      <c r="O269" s="23">
        <f t="shared" si="817"/>
        <v>0</v>
      </c>
      <c r="P269" s="23">
        <f t="shared" si="817"/>
        <v>105</v>
      </c>
      <c r="Q269" s="23">
        <f t="shared" si="817"/>
        <v>0</v>
      </c>
      <c r="R269" s="23">
        <f t="shared" si="817"/>
        <v>10</v>
      </c>
      <c r="S269" s="23">
        <f t="shared" si="817"/>
        <v>0</v>
      </c>
      <c r="T269" s="23">
        <f t="shared" si="817"/>
        <v>115</v>
      </c>
      <c r="U269" s="23">
        <f t="shared" si="817"/>
        <v>0</v>
      </c>
      <c r="V269" s="23">
        <f t="shared" si="817"/>
        <v>0</v>
      </c>
      <c r="W269" s="23">
        <f t="shared" si="817"/>
        <v>0</v>
      </c>
      <c r="X269" s="23">
        <f t="shared" si="817"/>
        <v>115</v>
      </c>
      <c r="Y269" s="23">
        <f t="shared" si="817"/>
        <v>0</v>
      </c>
      <c r="Z269" s="23">
        <f t="shared" si="817"/>
        <v>0</v>
      </c>
      <c r="AA269" s="23">
        <f t="shared" si="817"/>
        <v>0</v>
      </c>
      <c r="AB269" s="23">
        <f t="shared" si="817"/>
        <v>115</v>
      </c>
      <c r="AC269" s="23">
        <f t="shared" si="817"/>
        <v>0</v>
      </c>
      <c r="AD269" s="23">
        <f t="shared" si="817"/>
        <v>0</v>
      </c>
      <c r="AE269" s="23">
        <f t="shared" si="817"/>
        <v>0</v>
      </c>
      <c r="AF269" s="23">
        <f t="shared" si="817"/>
        <v>115</v>
      </c>
      <c r="AG269" s="23">
        <f t="shared" si="817"/>
        <v>0</v>
      </c>
      <c r="AH269" s="23">
        <f t="shared" si="817"/>
        <v>0</v>
      </c>
      <c r="AI269" s="23">
        <f t="shared" si="817"/>
        <v>0</v>
      </c>
      <c r="AJ269" s="23">
        <f t="shared" si="817"/>
        <v>115</v>
      </c>
      <c r="AK269" s="23">
        <f t="shared" si="817"/>
        <v>0</v>
      </c>
      <c r="AL269" s="23">
        <f t="shared" si="817"/>
        <v>0</v>
      </c>
      <c r="AM269" s="23">
        <f t="shared" si="817"/>
        <v>0</v>
      </c>
      <c r="AN269" s="23">
        <f t="shared" si="817"/>
        <v>115</v>
      </c>
      <c r="AO269" s="23">
        <f t="shared" si="817"/>
        <v>0</v>
      </c>
      <c r="AP269" s="23">
        <f t="shared" si="817"/>
        <v>0</v>
      </c>
      <c r="AQ269" s="23">
        <f t="shared" si="817"/>
        <v>0</v>
      </c>
      <c r="AR269" s="23">
        <f t="shared" si="817"/>
        <v>115</v>
      </c>
      <c r="AS269" s="23">
        <f t="shared" si="817"/>
        <v>0</v>
      </c>
      <c r="AT269" s="23">
        <f t="shared" si="817"/>
        <v>0</v>
      </c>
      <c r="AU269" s="23">
        <f t="shared" si="817"/>
        <v>0</v>
      </c>
      <c r="AV269" s="23">
        <f t="shared" si="817"/>
        <v>115</v>
      </c>
      <c r="AW269" s="23">
        <f t="shared" si="817"/>
        <v>1</v>
      </c>
      <c r="AX269" s="23">
        <f t="shared" si="817"/>
        <v>0</v>
      </c>
      <c r="AY269" s="23">
        <f t="shared" si="817"/>
        <v>0</v>
      </c>
      <c r="AZ269" s="23">
        <f t="shared" si="817"/>
        <v>116</v>
      </c>
      <c r="BA269" s="23">
        <f t="shared" si="817"/>
        <v>0</v>
      </c>
      <c r="BB269" s="23">
        <f t="shared" si="817"/>
        <v>0</v>
      </c>
      <c r="BC269" s="23">
        <f t="shared" si="817"/>
        <v>0</v>
      </c>
      <c r="BD269" s="23">
        <f t="shared" si="817"/>
        <v>116</v>
      </c>
      <c r="BE269" s="23">
        <f t="shared" si="817"/>
        <v>0</v>
      </c>
      <c r="BF269" s="23">
        <f t="shared" si="817"/>
        <v>3</v>
      </c>
      <c r="BG269" s="23">
        <f t="shared" si="817"/>
        <v>0</v>
      </c>
      <c r="BH269" s="23">
        <f t="shared" si="817"/>
        <v>119</v>
      </c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21"/>
      <c r="B270" s="21" t="s">
        <v>35</v>
      </c>
      <c r="C270" s="21">
        <f>COUNT(C262:C268)</f>
        <v>7</v>
      </c>
      <c r="D270" s="21"/>
      <c r="E270" s="21">
        <f>SUM(E261:E268)</f>
        <v>176</v>
      </c>
      <c r="F270" s="21">
        <f>SUM(E261:E268)+1</f>
        <v>177</v>
      </c>
      <c r="G270" s="22">
        <f>$BH269/F270</f>
        <v>0.6723163842</v>
      </c>
      <c r="H270" s="25">
        <f t="shared" ref="H270:J270" si="818">SUM(H261:H268)</f>
        <v>78</v>
      </c>
      <c r="I270" s="25">
        <f t="shared" si="818"/>
        <v>80</v>
      </c>
      <c r="J270" s="25">
        <f t="shared" si="818"/>
        <v>2</v>
      </c>
      <c r="K270" s="21"/>
      <c r="L270" s="21"/>
      <c r="M270" s="21"/>
      <c r="N270" s="21"/>
      <c r="O270" s="21"/>
      <c r="P270" s="22">
        <f>P269/F270</f>
        <v>0.593220339</v>
      </c>
      <c r="Q270" s="25">
        <f t="shared" ref="Q270:S270" si="819">M269+Q269</f>
        <v>0</v>
      </c>
      <c r="R270" s="25">
        <f t="shared" si="819"/>
        <v>37</v>
      </c>
      <c r="S270" s="25">
        <f t="shared" si="819"/>
        <v>0</v>
      </c>
      <c r="T270" s="22">
        <f>T269/F270</f>
        <v>0.6497175141</v>
      </c>
      <c r="U270" s="25">
        <f t="shared" ref="U270:W270" si="820">Q270+U269</f>
        <v>0</v>
      </c>
      <c r="V270" s="25">
        <f t="shared" si="820"/>
        <v>37</v>
      </c>
      <c r="W270" s="25">
        <f t="shared" si="820"/>
        <v>0</v>
      </c>
      <c r="X270" s="22">
        <f>X269/F270</f>
        <v>0.6497175141</v>
      </c>
      <c r="Y270" s="25">
        <f t="shared" ref="Y270:AA270" si="821">U270+Y269</f>
        <v>0</v>
      </c>
      <c r="Z270" s="25">
        <f t="shared" si="821"/>
        <v>37</v>
      </c>
      <c r="AA270" s="25">
        <f t="shared" si="821"/>
        <v>0</v>
      </c>
      <c r="AB270" s="22">
        <f>AB269/F270</f>
        <v>0.6497175141</v>
      </c>
      <c r="AC270" s="25">
        <f t="shared" ref="AC270:AE270" si="822">Y270+AC269</f>
        <v>0</v>
      </c>
      <c r="AD270" s="25">
        <f t="shared" si="822"/>
        <v>37</v>
      </c>
      <c r="AE270" s="25">
        <f t="shared" si="822"/>
        <v>0</v>
      </c>
      <c r="AF270" s="22">
        <f>AF269/F270</f>
        <v>0.6497175141</v>
      </c>
      <c r="AG270" s="25">
        <f t="shared" ref="AG270:AI270" si="823">AC270+AG269</f>
        <v>0</v>
      </c>
      <c r="AH270" s="25">
        <f t="shared" si="823"/>
        <v>37</v>
      </c>
      <c r="AI270" s="25">
        <f t="shared" si="823"/>
        <v>0</v>
      </c>
      <c r="AJ270" s="22">
        <f>AJ269/F270</f>
        <v>0.6497175141</v>
      </c>
      <c r="AK270" s="25">
        <f t="shared" ref="AK270:AM270" si="824">AG270+AK269</f>
        <v>0</v>
      </c>
      <c r="AL270" s="25">
        <f t="shared" si="824"/>
        <v>37</v>
      </c>
      <c r="AM270" s="25">
        <f t="shared" si="824"/>
        <v>0</v>
      </c>
      <c r="AN270" s="22">
        <f>AN269/F270</f>
        <v>0.6497175141</v>
      </c>
      <c r="AO270" s="25">
        <f t="shared" ref="AO270:AQ270" si="825">AK270+AO269</f>
        <v>0</v>
      </c>
      <c r="AP270" s="25">
        <f t="shared" si="825"/>
        <v>37</v>
      </c>
      <c r="AQ270" s="25">
        <f t="shared" si="825"/>
        <v>0</v>
      </c>
      <c r="AR270" s="22">
        <f>AR269/F270</f>
        <v>0.6497175141</v>
      </c>
      <c r="AS270" s="25">
        <f t="shared" ref="AS270:AU270" si="826">AO270+AS269</f>
        <v>0</v>
      </c>
      <c r="AT270" s="25">
        <f t="shared" si="826"/>
        <v>37</v>
      </c>
      <c r="AU270" s="25">
        <f t="shared" si="826"/>
        <v>0</v>
      </c>
      <c r="AV270" s="22">
        <f>AV269/F270</f>
        <v>0.6497175141</v>
      </c>
      <c r="AW270" s="25">
        <f t="shared" ref="AW270:AY270" si="827">AS270+AW269</f>
        <v>1</v>
      </c>
      <c r="AX270" s="25">
        <f t="shared" si="827"/>
        <v>37</v>
      </c>
      <c r="AY270" s="25">
        <f t="shared" si="827"/>
        <v>0</v>
      </c>
      <c r="AZ270" s="22">
        <f>AZ269/F270</f>
        <v>0.6553672316</v>
      </c>
      <c r="BA270" s="25">
        <f t="shared" ref="BA270:BC270" si="828">AW270+BA269</f>
        <v>1</v>
      </c>
      <c r="BB270" s="25">
        <f t="shared" si="828"/>
        <v>37</v>
      </c>
      <c r="BC270" s="25">
        <f t="shared" si="828"/>
        <v>0</v>
      </c>
      <c r="BD270" s="22">
        <f>BD269/F270</f>
        <v>0.6553672316</v>
      </c>
      <c r="BE270" s="25">
        <f t="shared" ref="BE270:BG270" si="829">BA270+BE269</f>
        <v>1</v>
      </c>
      <c r="BF270" s="25">
        <f t="shared" si="829"/>
        <v>40</v>
      </c>
      <c r="BG270" s="25">
        <f t="shared" si="829"/>
        <v>0</v>
      </c>
      <c r="BH270" s="22">
        <f>BH269/F270</f>
        <v>0.6723163842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31"/>
      <c r="I271" s="23"/>
      <c r="J271" s="3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3" t="s">
        <v>220</v>
      </c>
      <c r="B272" s="21"/>
      <c r="C272" s="21"/>
      <c r="D272" s="21"/>
      <c r="E272" s="21"/>
      <c r="F272" s="21"/>
      <c r="G272" s="22"/>
      <c r="H272" s="25"/>
      <c r="I272" s="23"/>
      <c r="J272" s="25"/>
      <c r="K272" s="21">
        <v>2027.0</v>
      </c>
      <c r="L272" s="21">
        <v>2025.0</v>
      </c>
      <c r="M272" s="21"/>
      <c r="N272" s="21"/>
      <c r="O272" s="21"/>
      <c r="P272" s="25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1.0</v>
      </c>
      <c r="D273" s="35"/>
      <c r="E273" s="35">
        <v>23.0</v>
      </c>
      <c r="F273" s="35">
        <f t="shared" ref="F273:F283" si="830">E273+1</f>
        <v>24</v>
      </c>
      <c r="G273" s="63">
        <f t="shared" ref="G273:G283" si="831">$BH273/F273</f>
        <v>1.083333333</v>
      </c>
      <c r="H273" s="39">
        <v>9.0</v>
      </c>
      <c r="I273" s="38">
        <f t="shared" ref="I273:I279" si="832">+H273+J273</f>
        <v>10</v>
      </c>
      <c r="J273" s="73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ref="P273:P283" si="833">SUM(M273:O273)+H273</f>
        <v>9</v>
      </c>
      <c r="Q273" s="35">
        <v>1.0</v>
      </c>
      <c r="R273" s="35">
        <v>10.0</v>
      </c>
      <c r="S273" s="35"/>
      <c r="T273" s="39">
        <f t="shared" ref="T273:T283" si="834">SUM(P273:S273)</f>
        <v>20</v>
      </c>
      <c r="U273" s="35">
        <v>1.0</v>
      </c>
      <c r="V273" s="35">
        <v>5.0</v>
      </c>
      <c r="W273" s="35"/>
      <c r="X273" s="39">
        <f t="shared" ref="X273:X283" si="835">SUM(T273:W273)</f>
        <v>26</v>
      </c>
      <c r="Y273" s="35"/>
      <c r="Z273" s="35"/>
      <c r="AA273" s="35"/>
      <c r="AB273" s="39">
        <f t="shared" ref="AB273:AB283" si="836">SUM(X273:AA273)</f>
        <v>26</v>
      </c>
      <c r="AC273" s="35"/>
      <c r="AD273" s="35"/>
      <c r="AE273" s="35"/>
      <c r="AF273" s="39">
        <f t="shared" ref="AF273:AF283" si="837">SUM(AB273:AE273)</f>
        <v>26</v>
      </c>
      <c r="AG273" s="35"/>
      <c r="AH273" s="35"/>
      <c r="AI273" s="35"/>
      <c r="AJ273" s="39">
        <f t="shared" ref="AJ273:AJ283" si="838">SUM(AF273:AI273)</f>
        <v>26</v>
      </c>
      <c r="AK273" s="35"/>
      <c r="AL273" s="35"/>
      <c r="AM273" s="35"/>
      <c r="AN273" s="39">
        <f t="shared" ref="AN273:AN283" si="839">SUM(AJ273:AM273)</f>
        <v>26</v>
      </c>
      <c r="AO273" s="35"/>
      <c r="AP273" s="35"/>
      <c r="AQ273" s="35"/>
      <c r="AR273" s="39">
        <f t="shared" ref="AR273:AR283" si="840">SUM(AN273:AQ273)</f>
        <v>26</v>
      </c>
      <c r="AS273" s="35"/>
      <c r="AT273" s="35"/>
      <c r="AU273" s="35"/>
      <c r="AV273" s="39">
        <f t="shared" ref="AV273:AV283" si="841">SUM(AR273:AU273)</f>
        <v>26</v>
      </c>
      <c r="AW273" s="35"/>
      <c r="AX273" s="35"/>
      <c r="AY273" s="35"/>
      <c r="AZ273" s="39">
        <f t="shared" ref="AZ273:AZ283" si="842">SUM(AV273:AY273)</f>
        <v>26</v>
      </c>
      <c r="BA273" s="35"/>
      <c r="BB273" s="35"/>
      <c r="BC273" s="35"/>
      <c r="BD273" s="39">
        <f t="shared" ref="BD273:BD283" si="843">SUM(AZ273:BC273)</f>
        <v>26</v>
      </c>
      <c r="BE273" s="35"/>
      <c r="BF273" s="35"/>
      <c r="BG273" s="35"/>
      <c r="BH273" s="39">
        <f t="shared" ref="BH273:BH283" si="844">SUM(BD273:BG273)</f>
        <v>26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2.0</v>
      </c>
      <c r="D274" s="35">
        <v>9133.0</v>
      </c>
      <c r="E274" s="35">
        <v>24.0</v>
      </c>
      <c r="F274" s="35">
        <f t="shared" si="830"/>
        <v>25</v>
      </c>
      <c r="G274" s="63">
        <f t="shared" si="831"/>
        <v>0.96</v>
      </c>
      <c r="H274" s="39">
        <v>12.0</v>
      </c>
      <c r="I274" s="38">
        <f t="shared" si="832"/>
        <v>13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12</v>
      </c>
      <c r="Q274" s="35"/>
      <c r="R274" s="35">
        <v>10.0</v>
      </c>
      <c r="S274" s="35"/>
      <c r="T274" s="39">
        <f t="shared" si="834"/>
        <v>22</v>
      </c>
      <c r="U274" s="35"/>
      <c r="V274" s="35"/>
      <c r="W274" s="35"/>
      <c r="X274" s="39">
        <f t="shared" si="835"/>
        <v>22</v>
      </c>
      <c r="Y274" s="35"/>
      <c r="Z274" s="35">
        <v>2.0</v>
      </c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3.0</v>
      </c>
      <c r="D275" s="35">
        <v>7315.0</v>
      </c>
      <c r="E275" s="35">
        <v>41.0</v>
      </c>
      <c r="F275" s="35">
        <f t="shared" si="830"/>
        <v>42</v>
      </c>
      <c r="G275" s="63">
        <f t="shared" si="831"/>
        <v>0.9761904762</v>
      </c>
      <c r="H275" s="39">
        <v>32.0</v>
      </c>
      <c r="I275" s="38">
        <f t="shared" si="832"/>
        <v>34</v>
      </c>
      <c r="J275" s="73">
        <v>2.0</v>
      </c>
      <c r="K275" s="21">
        <v>2027.0</v>
      </c>
      <c r="L275" s="21">
        <v>2025.0</v>
      </c>
      <c r="M275" s="41"/>
      <c r="N275" s="21">
        <v>1.0</v>
      </c>
      <c r="O275" s="35"/>
      <c r="P275" s="39">
        <f t="shared" si="833"/>
        <v>33</v>
      </c>
      <c r="Q275" s="35"/>
      <c r="R275" s="35"/>
      <c r="S275" s="35"/>
      <c r="T275" s="39">
        <f t="shared" si="834"/>
        <v>33</v>
      </c>
      <c r="U275" s="35"/>
      <c r="V275" s="35"/>
      <c r="W275" s="35"/>
      <c r="X275" s="39">
        <f t="shared" si="835"/>
        <v>33</v>
      </c>
      <c r="Y275" s="35"/>
      <c r="Z275" s="21"/>
      <c r="AA275" s="35"/>
      <c r="AB275" s="39">
        <f t="shared" si="836"/>
        <v>33</v>
      </c>
      <c r="AC275" s="35"/>
      <c r="AD275" s="35"/>
      <c r="AE275" s="35"/>
      <c r="AF275" s="39">
        <f t="shared" si="837"/>
        <v>33</v>
      </c>
      <c r="AG275" s="35"/>
      <c r="AH275" s="35">
        <v>3.0</v>
      </c>
      <c r="AI275" s="35"/>
      <c r="AJ275" s="39">
        <f t="shared" si="838"/>
        <v>36</v>
      </c>
      <c r="AK275" s="35"/>
      <c r="AL275" s="128"/>
      <c r="AM275" s="35"/>
      <c r="AN275" s="39">
        <f t="shared" si="839"/>
        <v>36</v>
      </c>
      <c r="AO275" s="35"/>
      <c r="AP275" s="35"/>
      <c r="AQ275" s="35"/>
      <c r="AR275" s="39">
        <f t="shared" si="840"/>
        <v>36</v>
      </c>
      <c r="AS275" s="35"/>
      <c r="AT275" s="35"/>
      <c r="AU275" s="35"/>
      <c r="AV275" s="39">
        <f t="shared" si="841"/>
        <v>36</v>
      </c>
      <c r="AW275" s="35"/>
      <c r="AX275" s="41">
        <v>1.0</v>
      </c>
      <c r="AY275" s="35"/>
      <c r="AZ275" s="39">
        <f t="shared" si="842"/>
        <v>37</v>
      </c>
      <c r="BA275" s="35"/>
      <c r="BB275" s="41">
        <v>1.0</v>
      </c>
      <c r="BC275" s="35"/>
      <c r="BD275" s="39">
        <f t="shared" si="843"/>
        <v>38</v>
      </c>
      <c r="BE275" s="41">
        <v>2.0</v>
      </c>
      <c r="BF275" s="35"/>
      <c r="BG275" s="41">
        <v>1.0</v>
      </c>
      <c r="BH275" s="39">
        <f t="shared" si="844"/>
        <v>41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8.0</v>
      </c>
      <c r="D276" s="35">
        <v>9103.0</v>
      </c>
      <c r="E276" s="35">
        <v>29.0</v>
      </c>
      <c r="F276" s="35">
        <f t="shared" si="830"/>
        <v>30</v>
      </c>
      <c r="G276" s="63">
        <f t="shared" si="831"/>
        <v>0.8666666667</v>
      </c>
      <c r="H276" s="39">
        <v>23.0</v>
      </c>
      <c r="I276" s="38">
        <f t="shared" si="832"/>
        <v>24</v>
      </c>
      <c r="J276" s="39">
        <v>1.0</v>
      </c>
      <c r="K276" s="21">
        <v>2027.0</v>
      </c>
      <c r="L276" s="21">
        <v>2025.0</v>
      </c>
      <c r="M276" s="35"/>
      <c r="N276" s="35"/>
      <c r="O276" s="35"/>
      <c r="P276" s="39">
        <f t="shared" si="833"/>
        <v>23</v>
      </c>
      <c r="Q276" s="35">
        <v>1.0</v>
      </c>
      <c r="R276" s="35"/>
      <c r="S276" s="35"/>
      <c r="T276" s="39">
        <f t="shared" si="834"/>
        <v>24</v>
      </c>
      <c r="U276" s="35"/>
      <c r="V276" s="35"/>
      <c r="W276" s="35"/>
      <c r="X276" s="39">
        <f t="shared" si="835"/>
        <v>24</v>
      </c>
      <c r="Y276" s="35"/>
      <c r="Z276" s="35"/>
      <c r="AA276" s="35"/>
      <c r="AB276" s="39">
        <f t="shared" si="836"/>
        <v>24</v>
      </c>
      <c r="AC276" s="35"/>
      <c r="AD276" s="35"/>
      <c r="AE276" s="35"/>
      <c r="AF276" s="39">
        <f t="shared" si="837"/>
        <v>24</v>
      </c>
      <c r="AG276" s="35"/>
      <c r="AH276" s="35"/>
      <c r="AI276" s="35"/>
      <c r="AJ276" s="39">
        <f t="shared" si="838"/>
        <v>24</v>
      </c>
      <c r="AK276" s="35"/>
      <c r="AL276" s="35"/>
      <c r="AM276" s="35"/>
      <c r="AN276" s="39">
        <f t="shared" si="839"/>
        <v>24</v>
      </c>
      <c r="AO276" s="35"/>
      <c r="AP276" s="35"/>
      <c r="AQ276" s="35"/>
      <c r="AR276" s="39">
        <f t="shared" si="840"/>
        <v>24</v>
      </c>
      <c r="AS276" s="35"/>
      <c r="AT276" s="35"/>
      <c r="AU276" s="35"/>
      <c r="AV276" s="39">
        <f t="shared" si="841"/>
        <v>24</v>
      </c>
      <c r="AW276" s="35"/>
      <c r="AX276" s="35"/>
      <c r="AY276" s="35"/>
      <c r="AZ276" s="39">
        <f t="shared" si="842"/>
        <v>24</v>
      </c>
      <c r="BA276" s="35"/>
      <c r="BB276" s="35"/>
      <c r="BC276" s="35"/>
      <c r="BD276" s="39">
        <f t="shared" si="843"/>
        <v>24</v>
      </c>
      <c r="BE276" s="35"/>
      <c r="BF276" s="41">
        <v>2.0</v>
      </c>
      <c r="BG276" s="35"/>
      <c r="BH276" s="39">
        <f t="shared" si="844"/>
        <v>26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11.0</v>
      </c>
      <c r="D277" s="35"/>
      <c r="E277" s="35">
        <v>35.0</v>
      </c>
      <c r="F277" s="35">
        <f t="shared" si="830"/>
        <v>36</v>
      </c>
      <c r="G277" s="63">
        <f t="shared" si="831"/>
        <v>0.7222222222</v>
      </c>
      <c r="H277" s="39">
        <v>21.0</v>
      </c>
      <c r="I277" s="38">
        <f t="shared" si="832"/>
        <v>22</v>
      </c>
      <c r="J277" s="39">
        <v>1.0</v>
      </c>
      <c r="K277" s="21">
        <v>2027.0</v>
      </c>
      <c r="L277" s="21">
        <v>2025.0</v>
      </c>
      <c r="M277" s="35"/>
      <c r="N277" s="35">
        <v>4.0</v>
      </c>
      <c r="O277" s="35"/>
      <c r="P277" s="39">
        <f t="shared" si="833"/>
        <v>25</v>
      </c>
      <c r="Q277" s="35"/>
      <c r="R277" s="35"/>
      <c r="S277" s="35"/>
      <c r="T277" s="39">
        <f t="shared" si="834"/>
        <v>25</v>
      </c>
      <c r="U277" s="35"/>
      <c r="V277" s="35"/>
      <c r="W277" s="35"/>
      <c r="X277" s="39">
        <f t="shared" si="835"/>
        <v>25</v>
      </c>
      <c r="Y277" s="35"/>
      <c r="Z277" s="35"/>
      <c r="AA277" s="35"/>
      <c r="AB277" s="39">
        <f t="shared" si="836"/>
        <v>25</v>
      </c>
      <c r="AC277" s="35"/>
      <c r="AD277" s="35"/>
      <c r="AE277" s="35"/>
      <c r="AF277" s="39">
        <f t="shared" si="837"/>
        <v>25</v>
      </c>
      <c r="AG277" s="35"/>
      <c r="AH277" s="35"/>
      <c r="AI277" s="35"/>
      <c r="AJ277" s="39">
        <f t="shared" si="838"/>
        <v>25</v>
      </c>
      <c r="AK277" s="35"/>
      <c r="AL277" s="35"/>
      <c r="AM277" s="35"/>
      <c r="AN277" s="39">
        <f t="shared" si="839"/>
        <v>25</v>
      </c>
      <c r="AO277" s="35"/>
      <c r="AP277" s="35"/>
      <c r="AQ277" s="35"/>
      <c r="AR277" s="39">
        <f t="shared" si="840"/>
        <v>25</v>
      </c>
      <c r="AS277" s="35"/>
      <c r="AT277" s="35"/>
      <c r="AU277" s="35"/>
      <c r="AV277" s="39">
        <f t="shared" si="841"/>
        <v>25</v>
      </c>
      <c r="AW277" s="35"/>
      <c r="AX277" s="35"/>
      <c r="AY277" s="41">
        <v>1.0</v>
      </c>
      <c r="AZ277" s="39">
        <f t="shared" si="842"/>
        <v>26</v>
      </c>
      <c r="BA277" s="35"/>
      <c r="BB277" s="35"/>
      <c r="BC277" s="35"/>
      <c r="BD277" s="39">
        <f t="shared" si="843"/>
        <v>26</v>
      </c>
      <c r="BE277" s="35"/>
      <c r="BF277" s="35"/>
      <c r="BG277" s="35"/>
      <c r="BH277" s="39">
        <f t="shared" si="844"/>
        <v>26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129" t="s">
        <v>226</v>
      </c>
      <c r="B278" s="130" t="s">
        <v>227</v>
      </c>
      <c r="C278" s="130">
        <v>17.0</v>
      </c>
      <c r="D278" s="130"/>
      <c r="E278" s="130">
        <v>15.0</v>
      </c>
      <c r="F278" s="130">
        <f t="shared" si="830"/>
        <v>16</v>
      </c>
      <c r="G278" s="131">
        <f t="shared" si="831"/>
        <v>1.0625</v>
      </c>
      <c r="H278" s="132">
        <v>7.0</v>
      </c>
      <c r="I278" s="133">
        <f t="shared" si="832"/>
        <v>7</v>
      </c>
      <c r="J278" s="132"/>
      <c r="K278" s="130">
        <v>2027.0</v>
      </c>
      <c r="L278" s="130">
        <v>2025.0</v>
      </c>
      <c r="M278" s="130">
        <v>1.0</v>
      </c>
      <c r="N278" s="130">
        <v>7.0</v>
      </c>
      <c r="O278" s="130"/>
      <c r="P278" s="132">
        <f t="shared" si="833"/>
        <v>15</v>
      </c>
      <c r="Q278" s="130"/>
      <c r="R278" s="130"/>
      <c r="S278" s="130"/>
      <c r="T278" s="132">
        <f t="shared" si="834"/>
        <v>15</v>
      </c>
      <c r="U278" s="130"/>
      <c r="V278" s="130"/>
      <c r="W278" s="130"/>
      <c r="X278" s="132">
        <f t="shared" si="835"/>
        <v>15</v>
      </c>
      <c r="Y278" s="130"/>
      <c r="Z278" s="130"/>
      <c r="AA278" s="130"/>
      <c r="AB278" s="132">
        <f t="shared" si="836"/>
        <v>15</v>
      </c>
      <c r="AC278" s="130"/>
      <c r="AD278" s="130"/>
      <c r="AE278" s="130"/>
      <c r="AF278" s="132">
        <f t="shared" si="837"/>
        <v>15</v>
      </c>
      <c r="AG278" s="130"/>
      <c r="AH278" s="130"/>
      <c r="AI278" s="130"/>
      <c r="AJ278" s="132">
        <f t="shared" si="838"/>
        <v>15</v>
      </c>
      <c r="AK278" s="130"/>
      <c r="AL278" s="130"/>
      <c r="AM278" s="130"/>
      <c r="AN278" s="132">
        <f t="shared" si="839"/>
        <v>15</v>
      </c>
      <c r="AO278" s="130"/>
      <c r="AP278" s="130"/>
      <c r="AQ278" s="130"/>
      <c r="AR278" s="132">
        <f t="shared" si="840"/>
        <v>15</v>
      </c>
      <c r="AS278" s="130"/>
      <c r="AT278" s="130"/>
      <c r="AU278" s="130"/>
      <c r="AV278" s="132">
        <f t="shared" si="841"/>
        <v>15</v>
      </c>
      <c r="AW278" s="130"/>
      <c r="AX278" s="130"/>
      <c r="AY278" s="130"/>
      <c r="AZ278" s="132">
        <f t="shared" si="842"/>
        <v>15</v>
      </c>
      <c r="BA278" s="130"/>
      <c r="BB278" s="129">
        <v>2.0</v>
      </c>
      <c r="BC278" s="130"/>
      <c r="BD278" s="132">
        <f t="shared" si="843"/>
        <v>17</v>
      </c>
      <c r="BE278" s="130"/>
      <c r="BF278" s="130"/>
      <c r="BG278" s="130"/>
      <c r="BH278" s="132">
        <f t="shared" si="844"/>
        <v>17</v>
      </c>
      <c r="BI278" s="134"/>
      <c r="BJ278" s="134"/>
      <c r="BK278" s="134"/>
      <c r="BL278" s="134"/>
      <c r="BM278" s="134"/>
      <c r="BN278" s="134"/>
      <c r="BO278" s="134"/>
      <c r="BP278" s="134"/>
      <c r="BQ278" s="134"/>
      <c r="BR278" s="134"/>
      <c r="BS278" s="134"/>
    </row>
    <row r="279">
      <c r="A279" s="35"/>
      <c r="B279" s="35" t="s">
        <v>228</v>
      </c>
      <c r="C279" s="35">
        <v>24.0</v>
      </c>
      <c r="D279" s="35">
        <v>670.0</v>
      </c>
      <c r="E279" s="35">
        <v>25.0</v>
      </c>
      <c r="F279" s="35">
        <f t="shared" si="830"/>
        <v>26</v>
      </c>
      <c r="G279" s="63">
        <f t="shared" si="831"/>
        <v>0.9230769231</v>
      </c>
      <c r="H279" s="39">
        <v>16.0</v>
      </c>
      <c r="I279" s="38">
        <f t="shared" si="832"/>
        <v>18</v>
      </c>
      <c r="J279" s="39">
        <v>2.0</v>
      </c>
      <c r="K279" s="21">
        <v>2027.0</v>
      </c>
      <c r="L279" s="21">
        <v>2025.0</v>
      </c>
      <c r="M279" s="35"/>
      <c r="N279" s="35"/>
      <c r="O279" s="35"/>
      <c r="P279" s="39">
        <f t="shared" si="833"/>
        <v>16</v>
      </c>
      <c r="Q279" s="35"/>
      <c r="R279" s="35"/>
      <c r="S279" s="35"/>
      <c r="T279" s="39">
        <f t="shared" si="834"/>
        <v>16</v>
      </c>
      <c r="U279" s="35"/>
      <c r="V279" s="35"/>
      <c r="W279" s="35"/>
      <c r="X279" s="39">
        <f t="shared" si="835"/>
        <v>16</v>
      </c>
      <c r="Y279" s="35"/>
      <c r="Z279" s="35"/>
      <c r="AA279" s="35"/>
      <c r="AB279" s="39">
        <f t="shared" si="836"/>
        <v>16</v>
      </c>
      <c r="AC279" s="35"/>
      <c r="AD279" s="35"/>
      <c r="AE279" s="35"/>
      <c r="AF279" s="39">
        <f t="shared" si="837"/>
        <v>16</v>
      </c>
      <c r="AG279" s="35"/>
      <c r="AH279" s="35"/>
      <c r="AI279" s="35"/>
      <c r="AJ279" s="39">
        <f t="shared" si="838"/>
        <v>16</v>
      </c>
      <c r="AK279" s="41">
        <v>1.0</v>
      </c>
      <c r="AL279" s="41">
        <v>7.0</v>
      </c>
      <c r="AM279" s="35"/>
      <c r="AN279" s="39">
        <f t="shared" si="839"/>
        <v>24</v>
      </c>
      <c r="AO279" s="35"/>
      <c r="AP279" s="35"/>
      <c r="AQ279" s="35"/>
      <c r="AR279" s="39">
        <f t="shared" si="840"/>
        <v>24</v>
      </c>
      <c r="AS279" s="35"/>
      <c r="AT279" s="35"/>
      <c r="AU279" s="35"/>
      <c r="AV279" s="39">
        <f t="shared" si="841"/>
        <v>24</v>
      </c>
      <c r="AW279" s="35"/>
      <c r="AX279" s="35"/>
      <c r="AY279" s="35"/>
      <c r="AZ279" s="39">
        <f t="shared" si="842"/>
        <v>24</v>
      </c>
      <c r="BA279" s="35"/>
      <c r="BB279" s="35"/>
      <c r="BC279" s="35"/>
      <c r="BD279" s="39">
        <f t="shared" si="843"/>
        <v>24</v>
      </c>
      <c r="BE279" s="35"/>
      <c r="BF279" s="35"/>
      <c r="BG279" s="35"/>
      <c r="BH279" s="39">
        <f t="shared" si="844"/>
        <v>24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229</v>
      </c>
      <c r="C280" s="35">
        <v>57.0</v>
      </c>
      <c r="D280" s="35">
        <v>1957.0</v>
      </c>
      <c r="E280" s="35">
        <v>35.0</v>
      </c>
      <c r="F280" s="35">
        <f t="shared" si="830"/>
        <v>36</v>
      </c>
      <c r="G280" s="63">
        <f t="shared" si="831"/>
        <v>0.9444444444</v>
      </c>
      <c r="H280" s="39">
        <v>16.0</v>
      </c>
      <c r="I280" s="38">
        <v>16.0</v>
      </c>
      <c r="J280" s="39">
        <v>1.0</v>
      </c>
      <c r="K280" s="21">
        <v>2027.0</v>
      </c>
      <c r="L280" s="21">
        <v>2025.0</v>
      </c>
      <c r="M280" s="35">
        <v>1.0</v>
      </c>
      <c r="N280" s="35"/>
      <c r="O280" s="35"/>
      <c r="P280" s="39">
        <f t="shared" si="833"/>
        <v>17</v>
      </c>
      <c r="Q280" s="35"/>
      <c r="R280" s="35"/>
      <c r="S280" s="35"/>
      <c r="T280" s="39">
        <f t="shared" si="834"/>
        <v>17</v>
      </c>
      <c r="U280" s="35"/>
      <c r="V280" s="35"/>
      <c r="W280" s="35"/>
      <c r="X280" s="39">
        <f t="shared" si="835"/>
        <v>17</v>
      </c>
      <c r="Y280" s="35">
        <v>1.0</v>
      </c>
      <c r="Z280" s="35"/>
      <c r="AA280" s="35"/>
      <c r="AB280" s="39">
        <f t="shared" si="836"/>
        <v>18</v>
      </c>
      <c r="AC280" s="35"/>
      <c r="AD280" s="35"/>
      <c r="AE280" s="35"/>
      <c r="AF280" s="39">
        <f t="shared" si="837"/>
        <v>18</v>
      </c>
      <c r="AG280" s="35"/>
      <c r="AH280" s="35"/>
      <c r="AI280" s="35"/>
      <c r="AJ280" s="39">
        <f t="shared" si="838"/>
        <v>18</v>
      </c>
      <c r="AK280" s="35"/>
      <c r="AL280" s="35"/>
      <c r="AM280" s="35"/>
      <c r="AN280" s="39">
        <f t="shared" si="839"/>
        <v>18</v>
      </c>
      <c r="AO280" s="35"/>
      <c r="AP280" s="35"/>
      <c r="AQ280" s="35"/>
      <c r="AR280" s="39">
        <f t="shared" si="840"/>
        <v>18</v>
      </c>
      <c r="AS280" s="35"/>
      <c r="AT280" s="41">
        <v>16.0</v>
      </c>
      <c r="AU280" s="35"/>
      <c r="AV280" s="39">
        <f t="shared" si="841"/>
        <v>34</v>
      </c>
      <c r="AW280" s="35"/>
      <c r="AX280" s="35"/>
      <c r="AY280" s="35"/>
      <c r="AZ280" s="39">
        <f t="shared" si="842"/>
        <v>34</v>
      </c>
      <c r="BA280" s="35"/>
      <c r="BB280" s="35"/>
      <c r="BC280" s="35"/>
      <c r="BD280" s="39">
        <f t="shared" si="843"/>
        <v>34</v>
      </c>
      <c r="BE280" s="35"/>
      <c r="BF280" s="35"/>
      <c r="BG280" s="35"/>
      <c r="BH280" s="39">
        <f t="shared" si="844"/>
        <v>34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230</v>
      </c>
      <c r="C281" s="35">
        <v>78.0</v>
      </c>
      <c r="D281" s="35">
        <v>6018.0</v>
      </c>
      <c r="E281" s="35">
        <v>42.0</v>
      </c>
      <c r="F281" s="35">
        <f t="shared" si="830"/>
        <v>43</v>
      </c>
      <c r="G281" s="63">
        <f t="shared" si="831"/>
        <v>1.302325581</v>
      </c>
      <c r="H281" s="39">
        <v>23.0</v>
      </c>
      <c r="I281" s="38">
        <f t="shared" ref="I281:I283" si="845">+H281+J281</f>
        <v>25</v>
      </c>
      <c r="J281" s="73">
        <v>2.0</v>
      </c>
      <c r="K281" s="21">
        <v>2027.0</v>
      </c>
      <c r="L281" s="21">
        <v>2025.0</v>
      </c>
      <c r="M281" s="35"/>
      <c r="N281" s="35">
        <v>15.0</v>
      </c>
      <c r="O281" s="35"/>
      <c r="P281" s="39">
        <f t="shared" si="833"/>
        <v>38</v>
      </c>
      <c r="Q281" s="35"/>
      <c r="R281" s="35"/>
      <c r="S281" s="35"/>
      <c r="T281" s="39">
        <f t="shared" si="834"/>
        <v>38</v>
      </c>
      <c r="U281" s="35"/>
      <c r="V281" s="35"/>
      <c r="W281" s="35"/>
      <c r="X281" s="39">
        <f t="shared" si="835"/>
        <v>38</v>
      </c>
      <c r="Y281" s="35"/>
      <c r="Z281" s="35"/>
      <c r="AA281" s="35"/>
      <c r="AB281" s="39">
        <f t="shared" si="836"/>
        <v>38</v>
      </c>
      <c r="AC281" s="35"/>
      <c r="AD281" s="35"/>
      <c r="AE281" s="35"/>
      <c r="AF281" s="39">
        <f t="shared" si="837"/>
        <v>38</v>
      </c>
      <c r="AG281" s="41">
        <v>2.0</v>
      </c>
      <c r="AH281" s="35"/>
      <c r="AI281" s="35"/>
      <c r="AJ281" s="39">
        <f t="shared" si="838"/>
        <v>40</v>
      </c>
      <c r="AK281" s="35"/>
      <c r="AL281" s="35"/>
      <c r="AM281" s="35"/>
      <c r="AN281" s="39">
        <f t="shared" si="839"/>
        <v>40</v>
      </c>
      <c r="AO281" s="35"/>
      <c r="AP281" s="35"/>
      <c r="AQ281" s="35"/>
      <c r="AR281" s="39">
        <f t="shared" si="840"/>
        <v>40</v>
      </c>
      <c r="AS281" s="35"/>
      <c r="AT281" s="35"/>
      <c r="AU281" s="35"/>
      <c r="AV281" s="39">
        <f t="shared" si="841"/>
        <v>40</v>
      </c>
      <c r="AW281" s="35"/>
      <c r="AX281" s="35"/>
      <c r="AY281" s="35"/>
      <c r="AZ281" s="39">
        <f t="shared" si="842"/>
        <v>40</v>
      </c>
      <c r="BA281" s="35"/>
      <c r="BB281" s="41">
        <v>16.0</v>
      </c>
      <c r="BC281" s="35"/>
      <c r="BD281" s="39">
        <f t="shared" si="843"/>
        <v>56</v>
      </c>
      <c r="BE281" s="35"/>
      <c r="BF281" s="35"/>
      <c r="BG281" s="35"/>
      <c r="BH281" s="39">
        <f t="shared" si="844"/>
        <v>56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231</v>
      </c>
      <c r="C282" s="35">
        <v>89.0</v>
      </c>
      <c r="D282" s="35">
        <v>9488.0</v>
      </c>
      <c r="E282" s="35">
        <v>22.0</v>
      </c>
      <c r="F282" s="35">
        <f t="shared" si="830"/>
        <v>23</v>
      </c>
      <c r="G282" s="63">
        <f t="shared" si="831"/>
        <v>0.9130434783</v>
      </c>
      <c r="H282" s="39">
        <v>12.0</v>
      </c>
      <c r="I282" s="38">
        <f t="shared" si="845"/>
        <v>12</v>
      </c>
      <c r="J282" s="39"/>
      <c r="K282" s="35">
        <v>2027.0</v>
      </c>
      <c r="L282" s="21">
        <v>2025.0</v>
      </c>
      <c r="M282" s="35"/>
      <c r="N282" s="35"/>
      <c r="O282" s="35"/>
      <c r="P282" s="39">
        <f t="shared" si="833"/>
        <v>12</v>
      </c>
      <c r="Q282" s="35"/>
      <c r="R282" s="35"/>
      <c r="S282" s="35"/>
      <c r="T282" s="39">
        <f t="shared" si="834"/>
        <v>12</v>
      </c>
      <c r="U282" s="35"/>
      <c r="V282" s="35"/>
      <c r="W282" s="35"/>
      <c r="X282" s="39">
        <f t="shared" si="835"/>
        <v>12</v>
      </c>
      <c r="Y282" s="35"/>
      <c r="Z282" s="35"/>
      <c r="AA282" s="35"/>
      <c r="AB282" s="39">
        <f t="shared" si="836"/>
        <v>12</v>
      </c>
      <c r="AC282" s="35"/>
      <c r="AD282" s="35"/>
      <c r="AE282" s="35"/>
      <c r="AF282" s="39">
        <f t="shared" si="837"/>
        <v>12</v>
      </c>
      <c r="AG282" s="35"/>
      <c r="AH282" s="35"/>
      <c r="AI282" s="35"/>
      <c r="AJ282" s="39">
        <f t="shared" si="838"/>
        <v>12</v>
      </c>
      <c r="AK282" s="35"/>
      <c r="AL282" s="35"/>
      <c r="AM282" s="35"/>
      <c r="AN282" s="39">
        <f t="shared" si="839"/>
        <v>12</v>
      </c>
      <c r="AO282" s="35"/>
      <c r="AP282" s="35"/>
      <c r="AQ282" s="35"/>
      <c r="AR282" s="39">
        <f t="shared" si="840"/>
        <v>12</v>
      </c>
      <c r="AS282" s="35"/>
      <c r="AT282" s="35"/>
      <c r="AU282" s="35"/>
      <c r="AV282" s="39">
        <f t="shared" si="841"/>
        <v>12</v>
      </c>
      <c r="AW282" s="41">
        <v>2.0</v>
      </c>
      <c r="AX282" s="41">
        <v>7.0</v>
      </c>
      <c r="AY282" s="35"/>
      <c r="AZ282" s="39">
        <f t="shared" si="842"/>
        <v>21</v>
      </c>
      <c r="BA282" s="35"/>
      <c r="BB282" s="35"/>
      <c r="BC282" s="35"/>
      <c r="BD282" s="39">
        <f t="shared" si="843"/>
        <v>21</v>
      </c>
      <c r="BE282" s="35"/>
      <c r="BF282" s="35"/>
      <c r="BG282" s="35"/>
      <c r="BH282" s="39">
        <f t="shared" si="844"/>
        <v>21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232</v>
      </c>
      <c r="C283" s="35">
        <v>254.0</v>
      </c>
      <c r="D283" s="35"/>
      <c r="E283" s="35">
        <v>22.0</v>
      </c>
      <c r="F283" s="35">
        <f t="shared" si="830"/>
        <v>23</v>
      </c>
      <c r="G283" s="63">
        <f t="shared" si="831"/>
        <v>1</v>
      </c>
      <c r="H283" s="39">
        <v>12.0</v>
      </c>
      <c r="I283" s="38">
        <f t="shared" si="845"/>
        <v>12</v>
      </c>
      <c r="J283" s="39"/>
      <c r="K283" s="21">
        <v>2027.0</v>
      </c>
      <c r="L283" s="21">
        <v>2025.0</v>
      </c>
      <c r="M283" s="35"/>
      <c r="N283" s="35">
        <v>1.0</v>
      </c>
      <c r="O283" s="35"/>
      <c r="P283" s="39">
        <f t="shared" si="833"/>
        <v>13</v>
      </c>
      <c r="Q283" s="35"/>
      <c r="R283" s="35"/>
      <c r="S283" s="35"/>
      <c r="T283" s="39">
        <f t="shared" si="834"/>
        <v>13</v>
      </c>
      <c r="U283" s="35"/>
      <c r="V283" s="35">
        <v>8.0</v>
      </c>
      <c r="W283" s="35"/>
      <c r="X283" s="39">
        <f t="shared" si="835"/>
        <v>21</v>
      </c>
      <c r="Y283" s="35"/>
      <c r="Z283" s="35"/>
      <c r="AA283" s="35"/>
      <c r="AB283" s="39">
        <f t="shared" si="836"/>
        <v>21</v>
      </c>
      <c r="AC283" s="35"/>
      <c r="AD283" s="35"/>
      <c r="AE283" s="35"/>
      <c r="AF283" s="39">
        <f t="shared" si="837"/>
        <v>21</v>
      </c>
      <c r="AG283" s="35"/>
      <c r="AH283" s="35"/>
      <c r="AI283" s="35"/>
      <c r="AJ283" s="39">
        <f t="shared" si="838"/>
        <v>21</v>
      </c>
      <c r="AK283" s="35"/>
      <c r="AL283" s="35"/>
      <c r="AM283" s="35"/>
      <c r="AN283" s="39">
        <f t="shared" si="839"/>
        <v>21</v>
      </c>
      <c r="AO283" s="35"/>
      <c r="AP283" s="35"/>
      <c r="AQ283" s="35"/>
      <c r="AR283" s="39">
        <f t="shared" si="840"/>
        <v>21</v>
      </c>
      <c r="AS283" s="35"/>
      <c r="AT283" s="35"/>
      <c r="AU283" s="35"/>
      <c r="AV283" s="39">
        <f t="shared" si="841"/>
        <v>21</v>
      </c>
      <c r="AW283" s="35"/>
      <c r="AX283" s="35"/>
      <c r="AY283" s="35"/>
      <c r="AZ283" s="39">
        <f t="shared" si="842"/>
        <v>21</v>
      </c>
      <c r="BA283" s="41">
        <v>2.0</v>
      </c>
      <c r="BB283" s="35"/>
      <c r="BC283" s="35"/>
      <c r="BD283" s="39">
        <f t="shared" si="843"/>
        <v>23</v>
      </c>
      <c r="BE283" s="35"/>
      <c r="BF283" s="35"/>
      <c r="BG283" s="35"/>
      <c r="BH283" s="39">
        <f t="shared" si="844"/>
        <v>23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40"/>
      <c r="B284" s="35"/>
      <c r="C284" s="35"/>
      <c r="D284" s="35"/>
      <c r="E284" s="35"/>
      <c r="F284" s="35"/>
      <c r="G284" s="35"/>
      <c r="H284" s="39"/>
      <c r="I284" s="38"/>
      <c r="J284" s="39"/>
      <c r="K284" s="35"/>
      <c r="L284" s="35"/>
      <c r="M284" s="39">
        <f t="shared" ref="M284:O284" si="846">SUM(M272:M282)</f>
        <v>2</v>
      </c>
      <c r="N284" s="39">
        <f t="shared" si="846"/>
        <v>27</v>
      </c>
      <c r="O284" s="39">
        <f t="shared" si="846"/>
        <v>0</v>
      </c>
      <c r="P284" s="39">
        <f t="shared" ref="P284:BH284" si="847">SUM(P272:P283)</f>
        <v>213</v>
      </c>
      <c r="Q284" s="39">
        <f t="shared" si="847"/>
        <v>2</v>
      </c>
      <c r="R284" s="39">
        <f t="shared" si="847"/>
        <v>20</v>
      </c>
      <c r="S284" s="39">
        <f t="shared" si="847"/>
        <v>0</v>
      </c>
      <c r="T284" s="39">
        <f t="shared" si="847"/>
        <v>235</v>
      </c>
      <c r="U284" s="39">
        <f t="shared" si="847"/>
        <v>1</v>
      </c>
      <c r="V284" s="39">
        <f t="shared" si="847"/>
        <v>13</v>
      </c>
      <c r="W284" s="39">
        <f t="shared" si="847"/>
        <v>0</v>
      </c>
      <c r="X284" s="39">
        <f t="shared" si="847"/>
        <v>249</v>
      </c>
      <c r="Y284" s="39">
        <f t="shared" si="847"/>
        <v>1</v>
      </c>
      <c r="Z284" s="39">
        <f t="shared" si="847"/>
        <v>2</v>
      </c>
      <c r="AA284" s="39">
        <f t="shared" si="847"/>
        <v>0</v>
      </c>
      <c r="AB284" s="39">
        <f t="shared" si="847"/>
        <v>252</v>
      </c>
      <c r="AC284" s="39">
        <f t="shared" si="847"/>
        <v>0</v>
      </c>
      <c r="AD284" s="39">
        <f t="shared" si="847"/>
        <v>0</v>
      </c>
      <c r="AE284" s="39">
        <f t="shared" si="847"/>
        <v>0</v>
      </c>
      <c r="AF284" s="39">
        <f t="shared" si="847"/>
        <v>252</v>
      </c>
      <c r="AG284" s="39">
        <f t="shared" si="847"/>
        <v>2</v>
      </c>
      <c r="AH284" s="39">
        <f t="shared" si="847"/>
        <v>3</v>
      </c>
      <c r="AI284" s="39">
        <f t="shared" si="847"/>
        <v>0</v>
      </c>
      <c r="AJ284" s="39">
        <f t="shared" si="847"/>
        <v>257</v>
      </c>
      <c r="AK284" s="39">
        <f t="shared" si="847"/>
        <v>1</v>
      </c>
      <c r="AL284" s="39">
        <f t="shared" si="847"/>
        <v>7</v>
      </c>
      <c r="AM284" s="39">
        <f t="shared" si="847"/>
        <v>0</v>
      </c>
      <c r="AN284" s="39">
        <f t="shared" si="847"/>
        <v>265</v>
      </c>
      <c r="AO284" s="39">
        <f t="shared" si="847"/>
        <v>0</v>
      </c>
      <c r="AP284" s="39">
        <f t="shared" si="847"/>
        <v>0</v>
      </c>
      <c r="AQ284" s="39">
        <f t="shared" si="847"/>
        <v>0</v>
      </c>
      <c r="AR284" s="39">
        <f t="shared" si="847"/>
        <v>265</v>
      </c>
      <c r="AS284" s="39">
        <f t="shared" si="847"/>
        <v>0</v>
      </c>
      <c r="AT284" s="39">
        <f t="shared" si="847"/>
        <v>16</v>
      </c>
      <c r="AU284" s="39">
        <f t="shared" si="847"/>
        <v>0</v>
      </c>
      <c r="AV284" s="39">
        <f t="shared" si="847"/>
        <v>281</v>
      </c>
      <c r="AW284" s="39">
        <f t="shared" si="847"/>
        <v>2</v>
      </c>
      <c r="AX284" s="39">
        <f t="shared" si="847"/>
        <v>8</v>
      </c>
      <c r="AY284" s="39">
        <f t="shared" si="847"/>
        <v>1</v>
      </c>
      <c r="AZ284" s="39">
        <f t="shared" si="847"/>
        <v>292</v>
      </c>
      <c r="BA284" s="39">
        <f t="shared" si="847"/>
        <v>2</v>
      </c>
      <c r="BB284" s="39">
        <f t="shared" si="847"/>
        <v>19</v>
      </c>
      <c r="BC284" s="39">
        <f t="shared" si="847"/>
        <v>0</v>
      </c>
      <c r="BD284" s="39">
        <f t="shared" si="847"/>
        <v>313</v>
      </c>
      <c r="BE284" s="39">
        <f t="shared" si="847"/>
        <v>2</v>
      </c>
      <c r="BF284" s="39">
        <f t="shared" si="847"/>
        <v>2</v>
      </c>
      <c r="BG284" s="39">
        <f t="shared" si="847"/>
        <v>1</v>
      </c>
      <c r="BH284" s="39">
        <f t="shared" si="847"/>
        <v>318</v>
      </c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35" t="s">
        <v>35</v>
      </c>
      <c r="C285" s="35">
        <f>COUNT(C273:C283)</f>
        <v>11</v>
      </c>
      <c r="D285" s="35"/>
      <c r="E285" s="35">
        <f>SUM(E272:E283)</f>
        <v>313</v>
      </c>
      <c r="F285" s="35">
        <f>SUM(E272:E283)+1</f>
        <v>314</v>
      </c>
      <c r="G285" s="63">
        <f>$BH284/F285</f>
        <v>1.012738854</v>
      </c>
      <c r="H285" s="39">
        <f t="shared" ref="H285:J285" si="848">SUM(H272:H283)</f>
        <v>183</v>
      </c>
      <c r="I285" s="39">
        <f t="shared" si="848"/>
        <v>193</v>
      </c>
      <c r="J285" s="39">
        <f t="shared" si="848"/>
        <v>11</v>
      </c>
      <c r="K285" s="35"/>
      <c r="L285" s="35"/>
      <c r="M285" s="35"/>
      <c r="N285" s="35"/>
      <c r="O285" s="35"/>
      <c r="P285" s="63">
        <f>P284/F285</f>
        <v>0.678343949</v>
      </c>
      <c r="Q285" s="39">
        <f t="shared" ref="Q285:S285" si="849">M284+Q284</f>
        <v>4</v>
      </c>
      <c r="R285" s="39">
        <f t="shared" si="849"/>
        <v>47</v>
      </c>
      <c r="S285" s="39">
        <f t="shared" si="849"/>
        <v>0</v>
      </c>
      <c r="T285" s="63">
        <f>T284/F285</f>
        <v>0.7484076433</v>
      </c>
      <c r="U285" s="39">
        <f t="shared" ref="U285:W285" si="850">Q285+U284</f>
        <v>5</v>
      </c>
      <c r="V285" s="39">
        <f t="shared" si="850"/>
        <v>60</v>
      </c>
      <c r="W285" s="39">
        <f t="shared" si="850"/>
        <v>0</v>
      </c>
      <c r="X285" s="63">
        <f>X284/F285</f>
        <v>0.7929936306</v>
      </c>
      <c r="Y285" s="39">
        <f t="shared" ref="Y285:AA285" si="851">U285+Y284</f>
        <v>6</v>
      </c>
      <c r="Z285" s="39">
        <f t="shared" si="851"/>
        <v>62</v>
      </c>
      <c r="AA285" s="39">
        <f t="shared" si="851"/>
        <v>0</v>
      </c>
      <c r="AB285" s="63">
        <f>AB284/F285</f>
        <v>0.8025477707</v>
      </c>
      <c r="AC285" s="39">
        <f t="shared" ref="AC285:AE285" si="852">Y285+AC284</f>
        <v>6</v>
      </c>
      <c r="AD285" s="39">
        <f t="shared" si="852"/>
        <v>62</v>
      </c>
      <c r="AE285" s="39">
        <f t="shared" si="852"/>
        <v>0</v>
      </c>
      <c r="AF285" s="63">
        <f>AF284/F285</f>
        <v>0.8025477707</v>
      </c>
      <c r="AG285" s="39">
        <f t="shared" ref="AG285:AI285" si="853">AC285+AG284</f>
        <v>8</v>
      </c>
      <c r="AH285" s="39">
        <f t="shared" si="853"/>
        <v>65</v>
      </c>
      <c r="AI285" s="39">
        <f t="shared" si="853"/>
        <v>0</v>
      </c>
      <c r="AJ285" s="63">
        <f>AJ284/F285</f>
        <v>0.8184713376</v>
      </c>
      <c r="AK285" s="39">
        <f t="shared" ref="AK285:AM285" si="854">AG285+AK284</f>
        <v>9</v>
      </c>
      <c r="AL285" s="39">
        <f t="shared" si="854"/>
        <v>72</v>
      </c>
      <c r="AM285" s="39">
        <f t="shared" si="854"/>
        <v>0</v>
      </c>
      <c r="AN285" s="63">
        <f>AN284/F285</f>
        <v>0.8439490446</v>
      </c>
      <c r="AO285" s="39">
        <f t="shared" ref="AO285:AQ285" si="855">AK285+AO284</f>
        <v>9</v>
      </c>
      <c r="AP285" s="39">
        <f t="shared" si="855"/>
        <v>72</v>
      </c>
      <c r="AQ285" s="39">
        <f t="shared" si="855"/>
        <v>0</v>
      </c>
      <c r="AR285" s="63">
        <f>AR284/F285</f>
        <v>0.8439490446</v>
      </c>
      <c r="AS285" s="39">
        <f t="shared" ref="AS285:AU285" si="856">AO285+AS284</f>
        <v>9</v>
      </c>
      <c r="AT285" s="39">
        <f t="shared" si="856"/>
        <v>88</v>
      </c>
      <c r="AU285" s="39">
        <f t="shared" si="856"/>
        <v>0</v>
      </c>
      <c r="AV285" s="63">
        <f>AV284/F285</f>
        <v>0.8949044586</v>
      </c>
      <c r="AW285" s="39">
        <f t="shared" ref="AW285:AY285" si="857">AS285+AW284</f>
        <v>11</v>
      </c>
      <c r="AX285" s="39">
        <f t="shared" si="857"/>
        <v>96</v>
      </c>
      <c r="AY285" s="39">
        <f t="shared" si="857"/>
        <v>1</v>
      </c>
      <c r="AZ285" s="63">
        <f>AZ284/F285</f>
        <v>0.9299363057</v>
      </c>
      <c r="BA285" s="39">
        <f t="shared" ref="BA285:BC285" si="858">AW285+BA284</f>
        <v>13</v>
      </c>
      <c r="BB285" s="39">
        <f t="shared" si="858"/>
        <v>115</v>
      </c>
      <c r="BC285" s="39">
        <f t="shared" si="858"/>
        <v>1</v>
      </c>
      <c r="BD285" s="63">
        <f>BD284/F285</f>
        <v>0.9968152866</v>
      </c>
      <c r="BE285" s="39">
        <f t="shared" ref="BE285:BG285" si="859">BA285+BE284</f>
        <v>15</v>
      </c>
      <c r="BF285" s="39">
        <f t="shared" si="859"/>
        <v>117</v>
      </c>
      <c r="BG285" s="39">
        <f t="shared" si="859"/>
        <v>2</v>
      </c>
      <c r="BH285" s="63">
        <f>BH284/F285</f>
        <v>1.012738854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31"/>
      <c r="I286" s="23"/>
      <c r="J286" s="3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3" t="s">
        <v>233</v>
      </c>
      <c r="B287" s="21"/>
      <c r="C287" s="21"/>
      <c r="D287" s="21"/>
      <c r="E287" s="21"/>
      <c r="F287" s="21"/>
      <c r="G287" s="22"/>
      <c r="H287" s="25"/>
      <c r="I287" s="23"/>
      <c r="J287" s="25"/>
      <c r="K287" s="21">
        <v>2027.0</v>
      </c>
      <c r="L287" s="21">
        <v>2025.0</v>
      </c>
      <c r="M287" s="21"/>
      <c r="N287" s="21"/>
      <c r="O287" s="21"/>
      <c r="P287" s="25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>
        <v>16.0</v>
      </c>
      <c r="BE287" s="21"/>
      <c r="BF287" s="21"/>
      <c r="BG287" s="21"/>
      <c r="BH287" s="21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110" t="s">
        <v>234</v>
      </c>
      <c r="C288" s="35">
        <v>2.0</v>
      </c>
      <c r="D288" s="35">
        <v>1326.0</v>
      </c>
      <c r="E288" s="35">
        <v>15.0</v>
      </c>
      <c r="F288" s="35">
        <f t="shared" ref="F288:F293" si="860">E288+1</f>
        <v>16</v>
      </c>
      <c r="G288" s="63">
        <f t="shared" ref="G288:G293" si="861">$BH288/F288</f>
        <v>1</v>
      </c>
      <c r="H288" s="39">
        <v>9.0</v>
      </c>
      <c r="I288" s="38">
        <f t="shared" ref="I288:I293" si="862">+H288+J288</f>
        <v>9</v>
      </c>
      <c r="J288" s="39"/>
      <c r="K288" s="21">
        <v>2027.0</v>
      </c>
      <c r="L288" s="21">
        <v>2025.0</v>
      </c>
      <c r="M288" s="35"/>
      <c r="N288" s="35">
        <v>6.0</v>
      </c>
      <c r="O288" s="35"/>
      <c r="P288" s="39">
        <f t="shared" ref="P288:P293" si="863">SUM(M288:O288)+H288</f>
        <v>15</v>
      </c>
      <c r="Q288" s="35"/>
      <c r="R288" s="35"/>
      <c r="S288" s="35"/>
      <c r="T288" s="39">
        <f t="shared" ref="T288:T293" si="864">SUM(P288:S288)</f>
        <v>15</v>
      </c>
      <c r="U288" s="35"/>
      <c r="V288" s="35"/>
      <c r="W288" s="35"/>
      <c r="X288" s="39">
        <f t="shared" ref="X288:X293" si="865">SUM(T288:W288)</f>
        <v>15</v>
      </c>
      <c r="Y288" s="35"/>
      <c r="Z288" s="35"/>
      <c r="AA288" s="35"/>
      <c r="AB288" s="39">
        <f t="shared" ref="AB288:AB293" si="866">SUM(X288:AA288)</f>
        <v>15</v>
      </c>
      <c r="AC288" s="35"/>
      <c r="AD288" s="35"/>
      <c r="AE288" s="35"/>
      <c r="AF288" s="39">
        <f t="shared" ref="AF288:AF293" si="867">SUM(AB288:AE288)</f>
        <v>15</v>
      </c>
      <c r="AG288" s="35"/>
      <c r="AH288" s="35"/>
      <c r="AI288" s="35"/>
      <c r="AJ288" s="39">
        <f t="shared" ref="AJ288:AJ293" si="868">SUM(AF288:AI288)</f>
        <v>15</v>
      </c>
      <c r="AK288" s="35"/>
      <c r="AL288" s="35"/>
      <c r="AM288" s="35"/>
      <c r="AN288" s="39">
        <f t="shared" ref="AN288:AN293" si="869">SUM(AJ288:AM288)</f>
        <v>15</v>
      </c>
      <c r="AO288" s="35"/>
      <c r="AP288" s="35"/>
      <c r="AQ288" s="35"/>
      <c r="AR288" s="39">
        <f t="shared" ref="AR288:AR293" si="870">SUM(AN288:AQ288)</f>
        <v>15</v>
      </c>
      <c r="AS288" s="35"/>
      <c r="AT288" s="41">
        <v>1.0</v>
      </c>
      <c r="AU288" s="35"/>
      <c r="AV288" s="39">
        <f t="shared" ref="AV288:AV293" si="871">SUM(AR288:AU288)</f>
        <v>16</v>
      </c>
      <c r="AW288" s="35"/>
      <c r="AX288" s="35"/>
      <c r="AY288" s="35"/>
      <c r="AZ288" s="39">
        <f t="shared" ref="AZ288:AZ293" si="872">SUM(AV288:AY288)</f>
        <v>16</v>
      </c>
      <c r="BA288" s="35"/>
      <c r="BB288" s="35"/>
      <c r="BC288" s="35"/>
      <c r="BD288" s="39">
        <f t="shared" ref="BD288:BD293" si="873">SUM(AZ288:BC288)</f>
        <v>16</v>
      </c>
      <c r="BE288" s="35"/>
      <c r="BF288" s="35"/>
      <c r="BG288" s="35"/>
      <c r="BH288" s="39">
        <f t="shared" ref="BH288:BH293" si="874">SUM(BD288:BG288)</f>
        <v>16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235</v>
      </c>
      <c r="C289" s="35">
        <v>6.0</v>
      </c>
      <c r="D289" s="35">
        <v>760.0</v>
      </c>
      <c r="E289" s="35">
        <v>13.0</v>
      </c>
      <c r="F289" s="35">
        <f t="shared" si="860"/>
        <v>14</v>
      </c>
      <c r="G289" s="63">
        <f t="shared" si="861"/>
        <v>0.9285714286</v>
      </c>
      <c r="H289" s="39">
        <v>13.0</v>
      </c>
      <c r="I289" s="38">
        <f t="shared" si="862"/>
        <v>13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13</v>
      </c>
      <c r="Q289" s="35"/>
      <c r="R289" s="35"/>
      <c r="S289" s="35"/>
      <c r="T289" s="39">
        <f t="shared" si="864"/>
        <v>13</v>
      </c>
      <c r="U289" s="35"/>
      <c r="V289" s="35"/>
      <c r="W289" s="35"/>
      <c r="X289" s="39">
        <f t="shared" si="865"/>
        <v>13</v>
      </c>
      <c r="Y289" s="35"/>
      <c r="Z289" s="35"/>
      <c r="AA289" s="35"/>
      <c r="AB289" s="39">
        <f t="shared" si="866"/>
        <v>13</v>
      </c>
      <c r="AC289" s="35"/>
      <c r="AD289" s="35"/>
      <c r="AE289" s="35"/>
      <c r="AF289" s="39">
        <f t="shared" si="867"/>
        <v>13</v>
      </c>
      <c r="AG289" s="35"/>
      <c r="AH289" s="35"/>
      <c r="AI289" s="35"/>
      <c r="AJ289" s="39">
        <f t="shared" si="868"/>
        <v>13</v>
      </c>
      <c r="AK289" s="35"/>
      <c r="AL289" s="35"/>
      <c r="AM289" s="35"/>
      <c r="AN289" s="39">
        <f t="shared" si="869"/>
        <v>13</v>
      </c>
      <c r="AO289" s="35"/>
      <c r="AP289" s="35"/>
      <c r="AQ289" s="35"/>
      <c r="AR289" s="39">
        <f t="shared" si="870"/>
        <v>13</v>
      </c>
      <c r="AS289" s="35"/>
      <c r="AT289" s="35"/>
      <c r="AU289" s="35"/>
      <c r="AV289" s="39">
        <f t="shared" si="871"/>
        <v>13</v>
      </c>
      <c r="AW289" s="35"/>
      <c r="AX289" s="35"/>
      <c r="AY289" s="35"/>
      <c r="AZ289" s="39">
        <f t="shared" si="872"/>
        <v>13</v>
      </c>
      <c r="BA289" s="35"/>
      <c r="BB289" s="35"/>
      <c r="BC289" s="35"/>
      <c r="BD289" s="39">
        <f t="shared" si="873"/>
        <v>13</v>
      </c>
      <c r="BE289" s="35"/>
      <c r="BF289" s="35"/>
      <c r="BG289" s="35"/>
      <c r="BH289" s="39">
        <f t="shared" si="874"/>
        <v>13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236</v>
      </c>
      <c r="C290" s="35">
        <v>7.0</v>
      </c>
      <c r="D290" s="35"/>
      <c r="E290" s="35">
        <v>29.0</v>
      </c>
      <c r="F290" s="35">
        <f t="shared" si="860"/>
        <v>30</v>
      </c>
      <c r="G290" s="63">
        <f t="shared" si="861"/>
        <v>0.9666666667</v>
      </c>
      <c r="H290" s="39">
        <v>1.0</v>
      </c>
      <c r="I290" s="38">
        <f t="shared" si="862"/>
        <v>1</v>
      </c>
      <c r="J290" s="39"/>
      <c r="K290" s="21">
        <v>2027.0</v>
      </c>
      <c r="L290" s="21">
        <v>2025.0</v>
      </c>
      <c r="M290" s="35"/>
      <c r="N290" s="35"/>
      <c r="O290" s="35"/>
      <c r="P290" s="39">
        <f t="shared" si="863"/>
        <v>1</v>
      </c>
      <c r="Q290" s="35"/>
      <c r="R290" s="35"/>
      <c r="S290" s="35"/>
      <c r="T290" s="39">
        <f t="shared" si="864"/>
        <v>1</v>
      </c>
      <c r="U290" s="35"/>
      <c r="V290" s="35"/>
      <c r="W290" s="35"/>
      <c r="X290" s="39">
        <f t="shared" si="865"/>
        <v>1</v>
      </c>
      <c r="Y290" s="35"/>
      <c r="Z290" s="35"/>
      <c r="AA290" s="35"/>
      <c r="AB290" s="39">
        <f t="shared" si="866"/>
        <v>1</v>
      </c>
      <c r="AC290" s="35"/>
      <c r="AD290" s="35"/>
      <c r="AE290" s="35"/>
      <c r="AF290" s="39">
        <f t="shared" si="867"/>
        <v>1</v>
      </c>
      <c r="AG290" s="35"/>
      <c r="AH290" s="35">
        <v>28.0</v>
      </c>
      <c r="AI290" s="35"/>
      <c r="AJ290" s="39">
        <f t="shared" si="868"/>
        <v>29</v>
      </c>
      <c r="AK290" s="35"/>
      <c r="AL290" s="35"/>
      <c r="AM290" s="35"/>
      <c r="AN290" s="39">
        <f t="shared" si="869"/>
        <v>29</v>
      </c>
      <c r="AO290" s="35"/>
      <c r="AP290" s="35"/>
      <c r="AQ290" s="35"/>
      <c r="AR290" s="39">
        <f t="shared" si="870"/>
        <v>29</v>
      </c>
      <c r="AS290" s="35"/>
      <c r="AT290" s="35"/>
      <c r="AU290" s="35"/>
      <c r="AV290" s="39">
        <f t="shared" si="871"/>
        <v>29</v>
      </c>
      <c r="AW290" s="35"/>
      <c r="AX290" s="35"/>
      <c r="AY290" s="35"/>
      <c r="AZ290" s="39">
        <f t="shared" si="872"/>
        <v>29</v>
      </c>
      <c r="BA290" s="35"/>
      <c r="BB290" s="35"/>
      <c r="BC290" s="35"/>
      <c r="BD290" s="39">
        <f t="shared" si="873"/>
        <v>29</v>
      </c>
      <c r="BE290" s="35"/>
      <c r="BF290" s="35"/>
      <c r="BG290" s="35"/>
      <c r="BH290" s="39">
        <f t="shared" si="874"/>
        <v>29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0" customHeight="1">
      <c r="A291" s="35"/>
      <c r="B291" s="35" t="s">
        <v>237</v>
      </c>
      <c r="C291" s="35">
        <v>8.0</v>
      </c>
      <c r="D291" s="35">
        <v>7564.0</v>
      </c>
      <c r="E291" s="35">
        <v>73.0</v>
      </c>
      <c r="F291" s="35">
        <f t="shared" si="860"/>
        <v>74</v>
      </c>
      <c r="G291" s="63">
        <f t="shared" si="861"/>
        <v>1.040540541</v>
      </c>
      <c r="H291" s="39">
        <v>38.0</v>
      </c>
      <c r="I291" s="38">
        <f t="shared" si="862"/>
        <v>38</v>
      </c>
      <c r="J291" s="39"/>
      <c r="K291" s="21">
        <v>2027.0</v>
      </c>
      <c r="L291" s="21">
        <v>2025.0</v>
      </c>
      <c r="M291" s="35"/>
      <c r="N291" s="35"/>
      <c r="O291" s="35"/>
      <c r="P291" s="39">
        <f t="shared" si="863"/>
        <v>38</v>
      </c>
      <c r="Q291" s="35"/>
      <c r="R291" s="35"/>
      <c r="S291" s="35"/>
      <c r="T291" s="39">
        <f t="shared" si="864"/>
        <v>38</v>
      </c>
      <c r="U291" s="35"/>
      <c r="V291" s="35"/>
      <c r="W291" s="35"/>
      <c r="X291" s="39">
        <f t="shared" si="865"/>
        <v>38</v>
      </c>
      <c r="Y291" s="35"/>
      <c r="Z291" s="35"/>
      <c r="AA291" s="35"/>
      <c r="AB291" s="39">
        <f t="shared" si="866"/>
        <v>38</v>
      </c>
      <c r="AC291" s="35"/>
      <c r="AD291" s="35"/>
      <c r="AE291" s="35"/>
      <c r="AF291" s="39">
        <f t="shared" si="867"/>
        <v>38</v>
      </c>
      <c r="AG291" s="35"/>
      <c r="AH291" s="35">
        <v>29.0</v>
      </c>
      <c r="AI291" s="35"/>
      <c r="AJ291" s="39">
        <f t="shared" si="868"/>
        <v>67</v>
      </c>
      <c r="AK291" s="35"/>
      <c r="AL291" s="41">
        <v>3.0</v>
      </c>
      <c r="AM291" s="35"/>
      <c r="AN291" s="39">
        <f t="shared" si="869"/>
        <v>70</v>
      </c>
      <c r="AO291" s="41">
        <v>5.0</v>
      </c>
      <c r="AP291" s="35"/>
      <c r="AQ291" s="35"/>
      <c r="AR291" s="39">
        <f t="shared" si="870"/>
        <v>75</v>
      </c>
      <c r="AS291" s="35"/>
      <c r="AT291" s="41">
        <v>2.0</v>
      </c>
      <c r="AU291" s="35"/>
      <c r="AV291" s="39">
        <f t="shared" si="871"/>
        <v>77</v>
      </c>
      <c r="AW291" s="35"/>
      <c r="AX291" s="35"/>
      <c r="AY291" s="35"/>
      <c r="AZ291" s="39">
        <f t="shared" si="872"/>
        <v>77</v>
      </c>
      <c r="BA291" s="35"/>
      <c r="BB291" s="35"/>
      <c r="BC291" s="35"/>
      <c r="BD291" s="39">
        <f t="shared" si="873"/>
        <v>77</v>
      </c>
      <c r="BE291" s="35"/>
      <c r="BF291" s="35"/>
      <c r="BG291" s="35"/>
      <c r="BH291" s="39">
        <f t="shared" si="874"/>
        <v>77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35"/>
      <c r="B292" s="35" t="s">
        <v>238</v>
      </c>
      <c r="C292" s="35">
        <v>10.0</v>
      </c>
      <c r="D292" s="35">
        <v>9367.0</v>
      </c>
      <c r="E292" s="35">
        <v>11.0</v>
      </c>
      <c r="F292" s="35">
        <f t="shared" si="860"/>
        <v>12</v>
      </c>
      <c r="G292" s="63">
        <f t="shared" si="861"/>
        <v>0.9166666667</v>
      </c>
      <c r="H292" s="39">
        <v>5.0</v>
      </c>
      <c r="I292" s="38">
        <f t="shared" si="862"/>
        <v>5</v>
      </c>
      <c r="J292" s="39"/>
      <c r="K292" s="21">
        <v>2027.0</v>
      </c>
      <c r="L292" s="21">
        <v>2025.0</v>
      </c>
      <c r="M292" s="35"/>
      <c r="N292" s="35">
        <v>6.0</v>
      </c>
      <c r="O292" s="35"/>
      <c r="P292" s="39">
        <f t="shared" si="863"/>
        <v>11</v>
      </c>
      <c r="Q292" s="35"/>
      <c r="R292" s="35"/>
      <c r="S292" s="35"/>
      <c r="T292" s="39">
        <f t="shared" si="864"/>
        <v>11</v>
      </c>
      <c r="U292" s="35"/>
      <c r="V292" s="35"/>
      <c r="W292" s="35"/>
      <c r="X292" s="39">
        <f t="shared" si="865"/>
        <v>11</v>
      </c>
      <c r="Y292" s="35"/>
      <c r="Z292" s="35"/>
      <c r="AA292" s="35"/>
      <c r="AB292" s="39">
        <f t="shared" si="866"/>
        <v>11</v>
      </c>
      <c r="AC292" s="35"/>
      <c r="AD292" s="35"/>
      <c r="AE292" s="35"/>
      <c r="AF292" s="39">
        <f t="shared" si="867"/>
        <v>11</v>
      </c>
      <c r="AG292" s="35"/>
      <c r="AH292" s="35"/>
      <c r="AI292" s="35"/>
      <c r="AJ292" s="39">
        <f t="shared" si="868"/>
        <v>11</v>
      </c>
      <c r="AK292" s="35"/>
      <c r="AL292" s="35"/>
      <c r="AM292" s="35"/>
      <c r="AN292" s="39">
        <f t="shared" si="869"/>
        <v>11</v>
      </c>
      <c r="AO292" s="35"/>
      <c r="AP292" s="35"/>
      <c r="AQ292" s="35"/>
      <c r="AR292" s="39">
        <f t="shared" si="870"/>
        <v>11</v>
      </c>
      <c r="AS292" s="35"/>
      <c r="AT292" s="35"/>
      <c r="AU292" s="35"/>
      <c r="AV292" s="39">
        <f t="shared" si="871"/>
        <v>11</v>
      </c>
      <c r="AW292" s="35"/>
      <c r="AX292" s="35"/>
      <c r="AY292" s="35"/>
      <c r="AZ292" s="39">
        <f t="shared" si="872"/>
        <v>11</v>
      </c>
      <c r="BA292" s="35"/>
      <c r="BB292" s="35"/>
      <c r="BC292" s="35"/>
      <c r="BD292" s="39">
        <f t="shared" si="873"/>
        <v>11</v>
      </c>
      <c r="BE292" s="35"/>
      <c r="BF292" s="35"/>
      <c r="BG292" s="35"/>
      <c r="BH292" s="39">
        <f t="shared" si="874"/>
        <v>11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35"/>
      <c r="B293" s="36" t="s">
        <v>239</v>
      </c>
      <c r="C293" s="36">
        <v>12.0</v>
      </c>
      <c r="D293" s="36">
        <v>753.0</v>
      </c>
      <c r="E293" s="36">
        <v>37.0</v>
      </c>
      <c r="F293" s="35">
        <f t="shared" si="860"/>
        <v>38</v>
      </c>
      <c r="G293" s="63">
        <f t="shared" si="861"/>
        <v>0.9736842105</v>
      </c>
      <c r="H293" s="39">
        <v>8.0</v>
      </c>
      <c r="I293" s="38">
        <f t="shared" si="862"/>
        <v>8</v>
      </c>
      <c r="J293" s="39"/>
      <c r="K293" s="21">
        <v>2027.0</v>
      </c>
      <c r="L293" s="21">
        <v>2025.0</v>
      </c>
      <c r="M293" s="35"/>
      <c r="N293" s="35">
        <v>28.0</v>
      </c>
      <c r="O293" s="35"/>
      <c r="P293" s="39">
        <f t="shared" si="863"/>
        <v>36</v>
      </c>
      <c r="Q293" s="35"/>
      <c r="R293" s="35"/>
      <c r="S293" s="35"/>
      <c r="T293" s="39">
        <f t="shared" si="864"/>
        <v>36</v>
      </c>
      <c r="U293" s="35"/>
      <c r="V293" s="35"/>
      <c r="W293" s="35"/>
      <c r="X293" s="39">
        <f t="shared" si="865"/>
        <v>36</v>
      </c>
      <c r="Y293" s="35"/>
      <c r="Z293" s="35"/>
      <c r="AA293" s="35"/>
      <c r="AB293" s="39">
        <f t="shared" si="866"/>
        <v>36</v>
      </c>
      <c r="AC293" s="35"/>
      <c r="AD293" s="35"/>
      <c r="AE293" s="35"/>
      <c r="AF293" s="39">
        <f t="shared" si="867"/>
        <v>36</v>
      </c>
      <c r="AG293" s="35"/>
      <c r="AH293" s="35"/>
      <c r="AI293" s="35"/>
      <c r="AJ293" s="39">
        <f t="shared" si="868"/>
        <v>36</v>
      </c>
      <c r="AK293" s="35"/>
      <c r="AL293" s="35"/>
      <c r="AM293" s="35"/>
      <c r="AN293" s="39">
        <f t="shared" si="869"/>
        <v>36</v>
      </c>
      <c r="AO293" s="41">
        <v>1.0</v>
      </c>
      <c r="AP293" s="35"/>
      <c r="AQ293" s="35"/>
      <c r="AR293" s="39">
        <f t="shared" si="870"/>
        <v>37</v>
      </c>
      <c r="AS293" s="35"/>
      <c r="AT293" s="35"/>
      <c r="AU293" s="35"/>
      <c r="AV293" s="39">
        <f t="shared" si="871"/>
        <v>37</v>
      </c>
      <c r="AW293" s="35"/>
      <c r="AX293" s="35"/>
      <c r="AY293" s="35"/>
      <c r="AZ293" s="39">
        <f t="shared" si="872"/>
        <v>37</v>
      </c>
      <c r="BA293" s="35"/>
      <c r="BB293" s="35"/>
      <c r="BC293" s="35"/>
      <c r="BD293" s="39">
        <f t="shared" si="873"/>
        <v>37</v>
      </c>
      <c r="BE293" s="35"/>
      <c r="BF293" s="35"/>
      <c r="BG293" s="35"/>
      <c r="BH293" s="39">
        <f t="shared" si="874"/>
        <v>37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 ht="15.75" customHeight="1">
      <c r="A294" s="24"/>
      <c r="B294" s="21"/>
      <c r="C294" s="21"/>
      <c r="D294" s="21"/>
      <c r="E294" s="21"/>
      <c r="F294" s="21"/>
      <c r="G294" s="21"/>
      <c r="H294" s="25"/>
      <c r="I294" s="25"/>
      <c r="J294" s="25"/>
      <c r="K294" s="21"/>
      <c r="L294" s="21"/>
      <c r="M294" s="25">
        <f t="shared" ref="M294:BH294" si="875">SUM(M287:M293)</f>
        <v>0</v>
      </c>
      <c r="N294" s="25">
        <f t="shared" si="875"/>
        <v>40</v>
      </c>
      <c r="O294" s="25">
        <f t="shared" si="875"/>
        <v>0</v>
      </c>
      <c r="P294" s="25">
        <f t="shared" si="875"/>
        <v>114</v>
      </c>
      <c r="Q294" s="25">
        <f t="shared" si="875"/>
        <v>0</v>
      </c>
      <c r="R294" s="25">
        <f t="shared" si="875"/>
        <v>0</v>
      </c>
      <c r="S294" s="25">
        <f t="shared" si="875"/>
        <v>0</v>
      </c>
      <c r="T294" s="25">
        <f t="shared" si="875"/>
        <v>114</v>
      </c>
      <c r="U294" s="25">
        <f t="shared" si="875"/>
        <v>0</v>
      </c>
      <c r="V294" s="25">
        <f t="shared" si="875"/>
        <v>0</v>
      </c>
      <c r="W294" s="25">
        <f t="shared" si="875"/>
        <v>0</v>
      </c>
      <c r="X294" s="25">
        <f t="shared" si="875"/>
        <v>114</v>
      </c>
      <c r="Y294" s="25">
        <f t="shared" si="875"/>
        <v>0</v>
      </c>
      <c r="Z294" s="25">
        <f t="shared" si="875"/>
        <v>0</v>
      </c>
      <c r="AA294" s="25">
        <f t="shared" si="875"/>
        <v>0</v>
      </c>
      <c r="AB294" s="25">
        <f t="shared" si="875"/>
        <v>114</v>
      </c>
      <c r="AC294" s="25">
        <f t="shared" si="875"/>
        <v>0</v>
      </c>
      <c r="AD294" s="25">
        <f t="shared" si="875"/>
        <v>0</v>
      </c>
      <c r="AE294" s="25">
        <f t="shared" si="875"/>
        <v>0</v>
      </c>
      <c r="AF294" s="25">
        <f t="shared" si="875"/>
        <v>114</v>
      </c>
      <c r="AG294" s="25">
        <f t="shared" si="875"/>
        <v>0</v>
      </c>
      <c r="AH294" s="25">
        <f t="shared" si="875"/>
        <v>57</v>
      </c>
      <c r="AI294" s="25">
        <f t="shared" si="875"/>
        <v>0</v>
      </c>
      <c r="AJ294" s="25">
        <f t="shared" si="875"/>
        <v>171</v>
      </c>
      <c r="AK294" s="25">
        <f t="shared" si="875"/>
        <v>0</v>
      </c>
      <c r="AL294" s="25">
        <f t="shared" si="875"/>
        <v>3</v>
      </c>
      <c r="AM294" s="25">
        <f t="shared" si="875"/>
        <v>0</v>
      </c>
      <c r="AN294" s="25">
        <f t="shared" si="875"/>
        <v>174</v>
      </c>
      <c r="AO294" s="25">
        <f t="shared" si="875"/>
        <v>6</v>
      </c>
      <c r="AP294" s="25">
        <f t="shared" si="875"/>
        <v>0</v>
      </c>
      <c r="AQ294" s="25">
        <f t="shared" si="875"/>
        <v>0</v>
      </c>
      <c r="AR294" s="25">
        <f t="shared" si="875"/>
        <v>180</v>
      </c>
      <c r="AS294" s="25">
        <f t="shared" si="875"/>
        <v>0</v>
      </c>
      <c r="AT294" s="25">
        <f t="shared" si="875"/>
        <v>3</v>
      </c>
      <c r="AU294" s="25">
        <f t="shared" si="875"/>
        <v>0</v>
      </c>
      <c r="AV294" s="25">
        <f t="shared" si="875"/>
        <v>183</v>
      </c>
      <c r="AW294" s="25">
        <f t="shared" si="875"/>
        <v>0</v>
      </c>
      <c r="AX294" s="25">
        <f t="shared" si="875"/>
        <v>0</v>
      </c>
      <c r="AY294" s="25">
        <f t="shared" si="875"/>
        <v>0</v>
      </c>
      <c r="AZ294" s="25">
        <f t="shared" si="875"/>
        <v>183</v>
      </c>
      <c r="BA294" s="25">
        <f t="shared" si="875"/>
        <v>0</v>
      </c>
      <c r="BB294" s="25">
        <f t="shared" si="875"/>
        <v>0</v>
      </c>
      <c r="BC294" s="25">
        <f t="shared" si="875"/>
        <v>0</v>
      </c>
      <c r="BD294" s="25">
        <f t="shared" si="875"/>
        <v>199</v>
      </c>
      <c r="BE294" s="25">
        <f t="shared" si="875"/>
        <v>0</v>
      </c>
      <c r="BF294" s="25">
        <f t="shared" si="875"/>
        <v>0</v>
      </c>
      <c r="BG294" s="25">
        <f t="shared" si="875"/>
        <v>0</v>
      </c>
      <c r="BH294" s="25">
        <f t="shared" si="875"/>
        <v>183</v>
      </c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 ht="15.75" customHeight="1">
      <c r="A295" s="21"/>
      <c r="B295" s="21" t="s">
        <v>35</v>
      </c>
      <c r="C295" s="21">
        <f>COUNT(C288:C293)</f>
        <v>6</v>
      </c>
      <c r="D295" s="21"/>
      <c r="E295" s="21">
        <f>SUM(E287:E293)</f>
        <v>178</v>
      </c>
      <c r="F295" s="21">
        <f>SUM(E287:E293)+1</f>
        <v>179</v>
      </c>
      <c r="G295" s="22">
        <f>$BH294/F295</f>
        <v>1.022346369</v>
      </c>
      <c r="H295" s="25">
        <f t="shared" ref="H295:J295" si="876">SUM(H287:H293)</f>
        <v>74</v>
      </c>
      <c r="I295" s="25">
        <f t="shared" si="876"/>
        <v>74</v>
      </c>
      <c r="J295" s="25">
        <f t="shared" si="876"/>
        <v>0</v>
      </c>
      <c r="K295" s="21"/>
      <c r="L295" s="21"/>
      <c r="M295" s="21"/>
      <c r="N295" s="21"/>
      <c r="O295" s="21"/>
      <c r="P295" s="22">
        <f>P294/F295</f>
        <v>0.6368715084</v>
      </c>
      <c r="Q295" s="25">
        <f t="shared" ref="Q295:S295" si="877">M294+Q294</f>
        <v>0</v>
      </c>
      <c r="R295" s="25">
        <f t="shared" si="877"/>
        <v>40</v>
      </c>
      <c r="S295" s="25">
        <f t="shared" si="877"/>
        <v>0</v>
      </c>
      <c r="T295" s="22">
        <f>T294/F295</f>
        <v>0.6368715084</v>
      </c>
      <c r="U295" s="25">
        <f t="shared" ref="U295:W295" si="878">Q295+U294</f>
        <v>0</v>
      </c>
      <c r="V295" s="25">
        <f t="shared" si="878"/>
        <v>40</v>
      </c>
      <c r="W295" s="25">
        <f t="shared" si="878"/>
        <v>0</v>
      </c>
      <c r="X295" s="22">
        <f>X294/F295</f>
        <v>0.6368715084</v>
      </c>
      <c r="Y295" s="25">
        <f t="shared" ref="Y295:AA295" si="879">U295+Y294</f>
        <v>0</v>
      </c>
      <c r="Z295" s="25">
        <f t="shared" si="879"/>
        <v>40</v>
      </c>
      <c r="AA295" s="25">
        <f t="shared" si="879"/>
        <v>0</v>
      </c>
      <c r="AB295" s="22">
        <f>AB294/F295</f>
        <v>0.6368715084</v>
      </c>
      <c r="AC295" s="25">
        <f t="shared" ref="AC295:AE295" si="880">Y295+AC294</f>
        <v>0</v>
      </c>
      <c r="AD295" s="25">
        <f t="shared" si="880"/>
        <v>40</v>
      </c>
      <c r="AE295" s="25">
        <f t="shared" si="880"/>
        <v>0</v>
      </c>
      <c r="AF295" s="22">
        <f>AF294/F295</f>
        <v>0.6368715084</v>
      </c>
      <c r="AG295" s="25">
        <f t="shared" ref="AG295:AI295" si="881">AC295+AG294</f>
        <v>0</v>
      </c>
      <c r="AH295" s="25">
        <f t="shared" si="881"/>
        <v>97</v>
      </c>
      <c r="AI295" s="25">
        <f t="shared" si="881"/>
        <v>0</v>
      </c>
      <c r="AJ295" s="22">
        <f>AJ294/F295</f>
        <v>0.9553072626</v>
      </c>
      <c r="AK295" s="25">
        <f t="shared" ref="AK295:AM295" si="882">AG295+AK294</f>
        <v>0</v>
      </c>
      <c r="AL295" s="25">
        <f t="shared" si="882"/>
        <v>100</v>
      </c>
      <c r="AM295" s="25">
        <f t="shared" si="882"/>
        <v>0</v>
      </c>
      <c r="AN295" s="22">
        <f>AN294/F295</f>
        <v>0.9720670391</v>
      </c>
      <c r="AO295" s="25">
        <f t="shared" ref="AO295:AQ295" si="883">AK295+AO294</f>
        <v>6</v>
      </c>
      <c r="AP295" s="25">
        <f t="shared" si="883"/>
        <v>100</v>
      </c>
      <c r="AQ295" s="25">
        <f t="shared" si="883"/>
        <v>0</v>
      </c>
      <c r="AR295" s="22">
        <f>AR294/F295</f>
        <v>1.005586592</v>
      </c>
      <c r="AS295" s="25">
        <f t="shared" ref="AS295:AU295" si="884">AO295+AS294</f>
        <v>6</v>
      </c>
      <c r="AT295" s="25">
        <f t="shared" si="884"/>
        <v>103</v>
      </c>
      <c r="AU295" s="25">
        <f t="shared" si="884"/>
        <v>0</v>
      </c>
      <c r="AV295" s="22">
        <f>AV294/F295</f>
        <v>1.022346369</v>
      </c>
      <c r="AW295" s="25">
        <f t="shared" ref="AW295:AY295" si="885">AS295+AW294</f>
        <v>6</v>
      </c>
      <c r="AX295" s="25">
        <f t="shared" si="885"/>
        <v>103</v>
      </c>
      <c r="AY295" s="25">
        <f t="shared" si="885"/>
        <v>0</v>
      </c>
      <c r="AZ295" s="22">
        <f>AZ294/F295</f>
        <v>1.022346369</v>
      </c>
      <c r="BA295" s="25">
        <f t="shared" ref="BA295:BC295" si="886">AW295+BA294</f>
        <v>6</v>
      </c>
      <c r="BB295" s="25">
        <f t="shared" si="886"/>
        <v>103</v>
      </c>
      <c r="BC295" s="25">
        <f t="shared" si="886"/>
        <v>0</v>
      </c>
      <c r="BD295" s="22">
        <f>BD294/F295</f>
        <v>1.111731844</v>
      </c>
      <c r="BE295" s="25">
        <f t="shared" ref="BE295:BG295" si="887">BA295+BE294</f>
        <v>6</v>
      </c>
      <c r="BF295" s="25">
        <f t="shared" si="887"/>
        <v>103</v>
      </c>
      <c r="BG295" s="25">
        <f t="shared" si="887"/>
        <v>0</v>
      </c>
      <c r="BH295" s="22">
        <f>BH294/F295</f>
        <v>1.022346369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27"/>
      <c r="B296" s="24"/>
      <c r="C296" s="24"/>
      <c r="D296" s="24"/>
      <c r="E296" s="21"/>
      <c r="F296" s="21"/>
      <c r="G296" s="28"/>
      <c r="H296" s="23"/>
      <c r="I296" s="23"/>
      <c r="J296" s="23"/>
      <c r="K296" s="24"/>
      <c r="L296" s="24"/>
      <c r="M296" s="24"/>
      <c r="N296" s="24"/>
      <c r="O296" s="24"/>
      <c r="P296" s="23"/>
      <c r="Q296" s="24"/>
      <c r="R296" s="24"/>
      <c r="S296" s="24"/>
      <c r="T296" s="21"/>
      <c r="U296" s="24"/>
      <c r="V296" s="24"/>
      <c r="W296" s="24"/>
      <c r="X296" s="21"/>
      <c r="Y296" s="24"/>
      <c r="Z296" s="24"/>
      <c r="AA296" s="24"/>
      <c r="AB296" s="21"/>
      <c r="AC296" s="24"/>
      <c r="AD296" s="24"/>
      <c r="AE296" s="24"/>
      <c r="AF296" s="21"/>
      <c r="AG296" s="24"/>
      <c r="AH296" s="24"/>
      <c r="AI296" s="24"/>
      <c r="AJ296" s="21"/>
      <c r="AK296" s="24"/>
      <c r="AL296" s="24"/>
      <c r="AM296" s="24"/>
      <c r="AN296" s="21"/>
      <c r="AO296" s="24"/>
      <c r="AP296" s="24"/>
      <c r="AQ296" s="24"/>
      <c r="AR296" s="21"/>
      <c r="AS296" s="24"/>
      <c r="AT296" s="24"/>
      <c r="AU296" s="24"/>
      <c r="AV296" s="21"/>
      <c r="AW296" s="24"/>
      <c r="AX296" s="24"/>
      <c r="AY296" s="24"/>
      <c r="AZ296" s="21"/>
      <c r="BA296" s="24"/>
      <c r="BB296" s="24"/>
      <c r="BC296" s="24"/>
      <c r="BD296" s="21"/>
      <c r="BE296" s="24"/>
      <c r="BF296" s="24"/>
      <c r="BG296" s="24"/>
      <c r="BH296" s="21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27" t="s">
        <v>240</v>
      </c>
      <c r="B297" s="24"/>
      <c r="C297" s="24"/>
      <c r="D297" s="24"/>
      <c r="E297" s="21"/>
      <c r="F297" s="21"/>
      <c r="G297" s="28"/>
      <c r="H297" s="23"/>
      <c r="I297" s="23"/>
      <c r="J297" s="23"/>
      <c r="K297" s="24">
        <v>2027.0</v>
      </c>
      <c r="L297" s="24" t="s">
        <v>241</v>
      </c>
      <c r="M297" s="24"/>
      <c r="N297" s="24"/>
      <c r="O297" s="24"/>
      <c r="P297" s="23"/>
      <c r="Q297" s="24"/>
      <c r="R297" s="24"/>
      <c r="S297" s="24"/>
      <c r="T297" s="21"/>
      <c r="U297" s="24"/>
      <c r="V297" s="24"/>
      <c r="W297" s="24"/>
      <c r="X297" s="21"/>
      <c r="Y297" s="24"/>
      <c r="Z297" s="24"/>
      <c r="AA297" s="24"/>
      <c r="AB297" s="21"/>
      <c r="AC297" s="24"/>
      <c r="AD297" s="24"/>
      <c r="AE297" s="24"/>
      <c r="AF297" s="21"/>
      <c r="AG297" s="24"/>
      <c r="AH297" s="24"/>
      <c r="AI297" s="24"/>
      <c r="AJ297" s="21"/>
      <c r="AK297" s="24"/>
      <c r="AL297" s="24"/>
      <c r="AM297" s="24"/>
      <c r="AN297" s="21"/>
      <c r="AO297" s="24"/>
      <c r="AP297" s="24"/>
      <c r="AQ297" s="24"/>
      <c r="AR297" s="21"/>
      <c r="AS297" s="24"/>
      <c r="AT297" s="24"/>
      <c r="AU297" s="24"/>
      <c r="AV297" s="21"/>
      <c r="AW297" s="24"/>
      <c r="AX297" s="24"/>
      <c r="AY297" s="24"/>
      <c r="AZ297" s="21"/>
      <c r="BA297" s="24"/>
      <c r="BB297" s="24"/>
      <c r="BC297" s="24"/>
      <c r="BD297" s="21"/>
      <c r="BE297" s="24"/>
      <c r="BF297" s="24"/>
      <c r="BG297" s="24"/>
      <c r="BH297" s="21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50"/>
      <c r="B298" s="110" t="s">
        <v>242</v>
      </c>
      <c r="C298" s="35">
        <v>1.0</v>
      </c>
      <c r="D298" s="35">
        <v>6676.0</v>
      </c>
      <c r="E298" s="35">
        <v>35.0</v>
      </c>
      <c r="F298" s="35">
        <f t="shared" ref="F298:F307" si="888">E298+1</f>
        <v>36</v>
      </c>
      <c r="G298" s="37">
        <f t="shared" ref="G298:G307" si="889">$BH298/F298</f>
        <v>0.8333333333</v>
      </c>
      <c r="H298" s="38">
        <v>20.0</v>
      </c>
      <c r="I298" s="38">
        <f t="shared" ref="I298:I299" si="890">+H298+J298</f>
        <v>20</v>
      </c>
      <c r="J298" s="39"/>
      <c r="K298" s="40">
        <v>2027.0</v>
      </c>
      <c r="L298" s="24" t="s">
        <v>241</v>
      </c>
      <c r="M298" s="35"/>
      <c r="N298" s="35"/>
      <c r="O298" s="35"/>
      <c r="P298" s="39">
        <f t="shared" ref="P298:P307" si="891">+H298+SUM(M298:O298)</f>
        <v>20</v>
      </c>
      <c r="Q298" s="35">
        <v>2.0</v>
      </c>
      <c r="R298" s="35">
        <v>8.0</v>
      </c>
      <c r="S298" s="35"/>
      <c r="T298" s="39">
        <f t="shared" ref="T298:T307" si="892">SUM(P298:S298)</f>
        <v>30</v>
      </c>
      <c r="U298" s="35"/>
      <c r="V298" s="35"/>
      <c r="W298" s="35"/>
      <c r="X298" s="39">
        <f t="shared" ref="X298:X307" si="893">SUM(T298:W298)</f>
        <v>30</v>
      </c>
      <c r="Y298" s="35"/>
      <c r="Z298" s="35"/>
      <c r="AA298" s="35"/>
      <c r="AB298" s="39">
        <f t="shared" ref="AB298:AB307" si="894">SUM(X298:AA298)</f>
        <v>30</v>
      </c>
      <c r="AC298" s="35"/>
      <c r="AD298" s="35"/>
      <c r="AE298" s="35"/>
      <c r="AF298" s="39">
        <f t="shared" ref="AF298:AF307" si="895">SUM(AB298:AE298)</f>
        <v>30</v>
      </c>
      <c r="AG298" s="35"/>
      <c r="AH298" s="35"/>
      <c r="AI298" s="35"/>
      <c r="AJ298" s="39">
        <f t="shared" ref="AJ298:AJ307" si="896">SUM(AF298:AI298)</f>
        <v>30</v>
      </c>
      <c r="AK298" s="35"/>
      <c r="AL298" s="35"/>
      <c r="AM298" s="35"/>
      <c r="AN298" s="39">
        <f t="shared" ref="AN298:AN307" si="897">SUM(AJ298:AM298)</f>
        <v>30</v>
      </c>
      <c r="AO298" s="35"/>
      <c r="AP298" s="35"/>
      <c r="AQ298" s="35"/>
      <c r="AR298" s="39">
        <f t="shared" ref="AR298:AR307" si="898">SUM(AN298:AQ298)</f>
        <v>30</v>
      </c>
      <c r="AS298" s="35"/>
      <c r="AT298" s="35"/>
      <c r="AU298" s="35"/>
      <c r="AV298" s="39">
        <f t="shared" ref="AV298:AV307" si="899">SUM(AR298:AU298)</f>
        <v>30</v>
      </c>
      <c r="AW298" s="35"/>
      <c r="AX298" s="35"/>
      <c r="AY298" s="35"/>
      <c r="AZ298" s="39">
        <f t="shared" ref="AZ298:AZ307" si="900">SUM(AV298:AY298)</f>
        <v>30</v>
      </c>
      <c r="BA298" s="35"/>
      <c r="BB298" s="35"/>
      <c r="BC298" s="35"/>
      <c r="BD298" s="39">
        <f t="shared" ref="BD298:BD307" si="901">SUM(AZ298:BC298)</f>
        <v>30</v>
      </c>
      <c r="BE298" s="35"/>
      <c r="BF298" s="35"/>
      <c r="BG298" s="35"/>
      <c r="BH298" s="39">
        <f t="shared" ref="BH298:BH307" si="902">SUM(BD298:BG298)</f>
        <v>30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243</v>
      </c>
      <c r="C299" s="35">
        <v>5.0</v>
      </c>
      <c r="D299" s="35">
        <v>8437.0</v>
      </c>
      <c r="E299" s="35">
        <v>14.0</v>
      </c>
      <c r="F299" s="35">
        <f t="shared" si="888"/>
        <v>15</v>
      </c>
      <c r="G299" s="37">
        <f t="shared" si="889"/>
        <v>0.8</v>
      </c>
      <c r="H299" s="38">
        <v>11.0</v>
      </c>
      <c r="I299" s="38">
        <f t="shared" si="890"/>
        <v>11</v>
      </c>
      <c r="J299" s="39"/>
      <c r="K299" s="40">
        <v>2027.0</v>
      </c>
      <c r="L299" s="24" t="s">
        <v>241</v>
      </c>
      <c r="M299" s="35"/>
      <c r="N299" s="35"/>
      <c r="O299" s="35"/>
      <c r="P299" s="39">
        <f t="shared" si="891"/>
        <v>11</v>
      </c>
      <c r="Q299" s="35"/>
      <c r="R299" s="35"/>
      <c r="S299" s="35"/>
      <c r="T299" s="39">
        <f t="shared" si="892"/>
        <v>11</v>
      </c>
      <c r="U299" s="35"/>
      <c r="V299" s="35"/>
      <c r="W299" s="35"/>
      <c r="X299" s="39">
        <f t="shared" si="893"/>
        <v>11</v>
      </c>
      <c r="Y299" s="35">
        <v>1.0</v>
      </c>
      <c r="Z299" s="35"/>
      <c r="AA299" s="35"/>
      <c r="AB299" s="39">
        <f t="shared" si="894"/>
        <v>12</v>
      </c>
      <c r="AC299" s="35"/>
      <c r="AD299" s="35"/>
      <c r="AE299" s="35"/>
      <c r="AF299" s="39">
        <f t="shared" si="895"/>
        <v>12</v>
      </c>
      <c r="AG299" s="35"/>
      <c r="AH299" s="35"/>
      <c r="AI299" s="35"/>
      <c r="AJ299" s="39">
        <f t="shared" si="896"/>
        <v>12</v>
      </c>
      <c r="AK299" s="35"/>
      <c r="AL299" s="35"/>
      <c r="AM299" s="35"/>
      <c r="AN299" s="39">
        <f t="shared" si="897"/>
        <v>12</v>
      </c>
      <c r="AO299" s="35"/>
      <c r="AP299" s="35"/>
      <c r="AQ299" s="35"/>
      <c r="AR299" s="39">
        <f t="shared" si="898"/>
        <v>12</v>
      </c>
      <c r="AS299" s="35"/>
      <c r="AT299" s="35"/>
      <c r="AU299" s="35"/>
      <c r="AV299" s="39">
        <f t="shared" si="899"/>
        <v>12</v>
      </c>
      <c r="AW299" s="35"/>
      <c r="AX299" s="35"/>
      <c r="AY299" s="35"/>
      <c r="AZ299" s="39">
        <f t="shared" si="900"/>
        <v>12</v>
      </c>
      <c r="BA299" s="35"/>
      <c r="BB299" s="35"/>
      <c r="BC299" s="35"/>
      <c r="BD299" s="39">
        <f t="shared" si="901"/>
        <v>12</v>
      </c>
      <c r="BE299" s="35"/>
      <c r="BF299" s="35"/>
      <c r="BG299" s="35"/>
      <c r="BH299" s="39">
        <f t="shared" si="902"/>
        <v>12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244</v>
      </c>
      <c r="C300" s="35">
        <v>16.0</v>
      </c>
      <c r="D300" s="35">
        <v>2489.0</v>
      </c>
      <c r="E300" s="35">
        <v>60.0</v>
      </c>
      <c r="F300" s="35">
        <f t="shared" si="888"/>
        <v>61</v>
      </c>
      <c r="G300" s="37">
        <f t="shared" si="889"/>
        <v>0.9836065574</v>
      </c>
      <c r="H300" s="38">
        <v>47.0</v>
      </c>
      <c r="I300" s="38">
        <v>47.0</v>
      </c>
      <c r="J300" s="39"/>
      <c r="K300" s="40">
        <v>2027.0</v>
      </c>
      <c r="L300" s="24" t="s">
        <v>241</v>
      </c>
      <c r="M300" s="35"/>
      <c r="N300" s="35"/>
      <c r="O300" s="35"/>
      <c r="P300" s="39">
        <f t="shared" si="891"/>
        <v>47</v>
      </c>
      <c r="Q300" s="35">
        <v>2.0</v>
      </c>
      <c r="R300" s="35">
        <v>1.0</v>
      </c>
      <c r="S300" s="35"/>
      <c r="T300" s="39">
        <f t="shared" si="892"/>
        <v>50</v>
      </c>
      <c r="U300" s="35"/>
      <c r="V300" s="35"/>
      <c r="W300" s="35"/>
      <c r="X300" s="39">
        <f t="shared" si="893"/>
        <v>50</v>
      </c>
      <c r="Y300" s="35"/>
      <c r="Z300" s="35"/>
      <c r="AA300" s="35"/>
      <c r="AB300" s="39">
        <f t="shared" si="894"/>
        <v>50</v>
      </c>
      <c r="AC300" s="35"/>
      <c r="AD300" s="35"/>
      <c r="AE300" s="35"/>
      <c r="AF300" s="39">
        <f t="shared" si="895"/>
        <v>50</v>
      </c>
      <c r="AG300" s="35"/>
      <c r="AH300" s="35"/>
      <c r="AI300" s="35">
        <v>1.0</v>
      </c>
      <c r="AJ300" s="39">
        <f t="shared" si="896"/>
        <v>51</v>
      </c>
      <c r="AK300" s="41">
        <v>1.0</v>
      </c>
      <c r="AL300" s="41">
        <v>3.0</v>
      </c>
      <c r="AM300" s="35"/>
      <c r="AN300" s="39">
        <f t="shared" si="897"/>
        <v>55</v>
      </c>
      <c r="AO300" s="35"/>
      <c r="AP300" s="35"/>
      <c r="AQ300" s="35"/>
      <c r="AR300" s="39">
        <f t="shared" si="898"/>
        <v>55</v>
      </c>
      <c r="AS300" s="35"/>
      <c r="AT300" s="41">
        <v>1.0</v>
      </c>
      <c r="AU300" s="35"/>
      <c r="AV300" s="39">
        <f t="shared" si="899"/>
        <v>56</v>
      </c>
      <c r="AW300" s="41">
        <v>1.0</v>
      </c>
      <c r="AX300" s="41">
        <v>3.0</v>
      </c>
      <c r="AY300" s="35"/>
      <c r="AZ300" s="39">
        <f t="shared" si="900"/>
        <v>60</v>
      </c>
      <c r="BA300" s="35"/>
      <c r="BB300" s="35"/>
      <c r="BC300" s="35"/>
      <c r="BD300" s="39">
        <f t="shared" si="901"/>
        <v>60</v>
      </c>
      <c r="BE300" s="35"/>
      <c r="BF300" s="35"/>
      <c r="BG300" s="35"/>
      <c r="BH300" s="39">
        <f t="shared" si="902"/>
        <v>60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245</v>
      </c>
      <c r="C301" s="35">
        <v>18.0</v>
      </c>
      <c r="D301" s="35">
        <v>1031.0</v>
      </c>
      <c r="E301" s="35">
        <v>19.0</v>
      </c>
      <c r="F301" s="35">
        <f t="shared" si="888"/>
        <v>20</v>
      </c>
      <c r="G301" s="37">
        <f t="shared" si="889"/>
        <v>0.9</v>
      </c>
      <c r="H301" s="38">
        <v>14.0</v>
      </c>
      <c r="I301" s="38">
        <f t="shared" ref="I301:I307" si="903">+H301+J301</f>
        <v>14</v>
      </c>
      <c r="J301" s="39"/>
      <c r="K301" s="40">
        <v>2027.0</v>
      </c>
      <c r="L301" s="24" t="s">
        <v>241</v>
      </c>
      <c r="M301" s="35"/>
      <c r="N301" s="35"/>
      <c r="O301" s="35"/>
      <c r="P301" s="39">
        <f t="shared" si="891"/>
        <v>14</v>
      </c>
      <c r="Q301" s="35"/>
      <c r="R301" s="35"/>
      <c r="S301" s="35"/>
      <c r="T301" s="39">
        <f t="shared" si="892"/>
        <v>14</v>
      </c>
      <c r="U301" s="35"/>
      <c r="V301" s="35"/>
      <c r="W301" s="35"/>
      <c r="X301" s="39">
        <f t="shared" si="893"/>
        <v>14</v>
      </c>
      <c r="Y301" s="35"/>
      <c r="Z301" s="35"/>
      <c r="AA301" s="35"/>
      <c r="AB301" s="39">
        <f t="shared" si="894"/>
        <v>14</v>
      </c>
      <c r="AC301" s="35"/>
      <c r="AD301" s="35"/>
      <c r="AE301" s="35"/>
      <c r="AF301" s="39">
        <f t="shared" si="895"/>
        <v>14</v>
      </c>
      <c r="AG301" s="35"/>
      <c r="AH301" s="35"/>
      <c r="AI301" s="35"/>
      <c r="AJ301" s="39">
        <f t="shared" si="896"/>
        <v>14</v>
      </c>
      <c r="AK301" s="35"/>
      <c r="AL301" s="35"/>
      <c r="AM301" s="35"/>
      <c r="AN301" s="39">
        <f t="shared" si="897"/>
        <v>14</v>
      </c>
      <c r="AO301" s="35"/>
      <c r="AP301" s="35"/>
      <c r="AQ301" s="35"/>
      <c r="AR301" s="39">
        <f t="shared" si="898"/>
        <v>14</v>
      </c>
      <c r="AS301" s="35"/>
      <c r="AT301" s="35"/>
      <c r="AU301" s="35"/>
      <c r="AV301" s="39">
        <f t="shared" si="899"/>
        <v>14</v>
      </c>
      <c r="AW301" s="35"/>
      <c r="AX301" s="35"/>
      <c r="AY301" s="35"/>
      <c r="AZ301" s="39">
        <f t="shared" si="900"/>
        <v>14</v>
      </c>
      <c r="BA301" s="35"/>
      <c r="BB301" s="41">
        <v>4.0</v>
      </c>
      <c r="BC301" s="35"/>
      <c r="BD301" s="39">
        <f t="shared" si="901"/>
        <v>18</v>
      </c>
      <c r="BE301" s="35"/>
      <c r="BF301" s="35"/>
      <c r="BG301" s="35"/>
      <c r="BH301" s="39">
        <f t="shared" si="902"/>
        <v>18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246</v>
      </c>
      <c r="C302" s="35">
        <v>24.0</v>
      </c>
      <c r="D302" s="35">
        <v>8487.0</v>
      </c>
      <c r="E302" s="35">
        <v>24.0</v>
      </c>
      <c r="F302" s="35">
        <f t="shared" si="888"/>
        <v>25</v>
      </c>
      <c r="G302" s="37">
        <f t="shared" si="889"/>
        <v>0.92</v>
      </c>
      <c r="H302" s="38">
        <v>23.0</v>
      </c>
      <c r="I302" s="38">
        <f t="shared" si="903"/>
        <v>23</v>
      </c>
      <c r="J302" s="39"/>
      <c r="K302" s="40">
        <v>2025.0</v>
      </c>
      <c r="L302" s="24" t="s">
        <v>241</v>
      </c>
      <c r="M302" s="35"/>
      <c r="N302" s="35"/>
      <c r="O302" s="35"/>
      <c r="P302" s="39">
        <f t="shared" si="891"/>
        <v>23</v>
      </c>
      <c r="Q302" s="35"/>
      <c r="R302" s="35"/>
      <c r="S302" s="35"/>
      <c r="T302" s="39">
        <f t="shared" si="892"/>
        <v>23</v>
      </c>
      <c r="U302" s="35"/>
      <c r="V302" s="35"/>
      <c r="W302" s="35"/>
      <c r="X302" s="39">
        <f t="shared" si="893"/>
        <v>23</v>
      </c>
      <c r="Y302" s="35"/>
      <c r="Z302" s="35"/>
      <c r="AA302" s="35"/>
      <c r="AB302" s="39">
        <f t="shared" si="894"/>
        <v>23</v>
      </c>
      <c r="AC302" s="35"/>
      <c r="AD302" s="35"/>
      <c r="AE302" s="35"/>
      <c r="AF302" s="39">
        <f t="shared" si="895"/>
        <v>23</v>
      </c>
      <c r="AG302" s="35"/>
      <c r="AH302" s="35"/>
      <c r="AI302" s="35"/>
      <c r="AJ302" s="39">
        <f t="shared" si="896"/>
        <v>23</v>
      </c>
      <c r="AK302" s="35"/>
      <c r="AL302" s="35"/>
      <c r="AM302" s="35"/>
      <c r="AN302" s="39">
        <f t="shared" si="897"/>
        <v>23</v>
      </c>
      <c r="AO302" s="35"/>
      <c r="AP302" s="35"/>
      <c r="AQ302" s="35"/>
      <c r="AR302" s="39">
        <f t="shared" si="898"/>
        <v>23</v>
      </c>
      <c r="AS302" s="35"/>
      <c r="AT302" s="35"/>
      <c r="AU302" s="35"/>
      <c r="AV302" s="39">
        <f t="shared" si="899"/>
        <v>23</v>
      </c>
      <c r="AW302" s="35"/>
      <c r="AX302" s="35"/>
      <c r="AY302" s="35"/>
      <c r="AZ302" s="39">
        <f t="shared" si="900"/>
        <v>23</v>
      </c>
      <c r="BA302" s="35"/>
      <c r="BB302" s="35"/>
      <c r="BC302" s="35"/>
      <c r="BD302" s="39">
        <f t="shared" si="901"/>
        <v>23</v>
      </c>
      <c r="BE302" s="35"/>
      <c r="BF302" s="35"/>
      <c r="BG302" s="35"/>
      <c r="BH302" s="39">
        <f t="shared" si="902"/>
        <v>23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247</v>
      </c>
      <c r="C303" s="35">
        <v>45.0</v>
      </c>
      <c r="D303" s="35">
        <v>9871.0</v>
      </c>
      <c r="E303" s="35">
        <v>24.0</v>
      </c>
      <c r="F303" s="35">
        <f t="shared" si="888"/>
        <v>25</v>
      </c>
      <c r="G303" s="37">
        <f t="shared" si="889"/>
        <v>1</v>
      </c>
      <c r="H303" s="38">
        <v>21.0</v>
      </c>
      <c r="I303" s="38">
        <f t="shared" si="903"/>
        <v>21</v>
      </c>
      <c r="J303" s="39"/>
      <c r="K303" s="40">
        <v>2027.0</v>
      </c>
      <c r="L303" s="24" t="s">
        <v>241</v>
      </c>
      <c r="M303" s="35"/>
      <c r="N303" s="35"/>
      <c r="O303" s="35"/>
      <c r="P303" s="39">
        <f t="shared" si="891"/>
        <v>21</v>
      </c>
      <c r="Q303" s="35"/>
      <c r="R303" s="35"/>
      <c r="S303" s="35"/>
      <c r="T303" s="39">
        <f t="shared" si="892"/>
        <v>21</v>
      </c>
      <c r="U303" s="35"/>
      <c r="V303" s="35"/>
      <c r="W303" s="35"/>
      <c r="X303" s="39">
        <f t="shared" si="893"/>
        <v>21</v>
      </c>
      <c r="Y303" s="35"/>
      <c r="Z303" s="35"/>
      <c r="AA303" s="35"/>
      <c r="AB303" s="39">
        <f t="shared" si="894"/>
        <v>21</v>
      </c>
      <c r="AC303" s="35"/>
      <c r="AD303" s="35"/>
      <c r="AE303" s="35"/>
      <c r="AF303" s="39">
        <f t="shared" si="895"/>
        <v>21</v>
      </c>
      <c r="AG303" s="35"/>
      <c r="AH303" s="35"/>
      <c r="AI303" s="35"/>
      <c r="AJ303" s="39">
        <f t="shared" si="896"/>
        <v>21</v>
      </c>
      <c r="AK303" s="35"/>
      <c r="AL303" s="35"/>
      <c r="AM303" s="35"/>
      <c r="AN303" s="39">
        <f t="shared" si="897"/>
        <v>21</v>
      </c>
      <c r="AO303" s="35"/>
      <c r="AP303" s="35"/>
      <c r="AQ303" s="35"/>
      <c r="AR303" s="39">
        <f t="shared" si="898"/>
        <v>21</v>
      </c>
      <c r="AS303" s="35"/>
      <c r="AT303" s="35"/>
      <c r="AU303" s="35"/>
      <c r="AV303" s="39">
        <f t="shared" si="899"/>
        <v>21</v>
      </c>
      <c r="AW303" s="35"/>
      <c r="AX303" s="35"/>
      <c r="AY303" s="35"/>
      <c r="AZ303" s="39">
        <f t="shared" si="900"/>
        <v>21</v>
      </c>
      <c r="BA303" s="35"/>
      <c r="BB303" s="35"/>
      <c r="BC303" s="35"/>
      <c r="BD303" s="39">
        <f t="shared" si="901"/>
        <v>21</v>
      </c>
      <c r="BE303" s="41">
        <v>1.0</v>
      </c>
      <c r="BF303" s="41">
        <v>3.0</v>
      </c>
      <c r="BG303" s="35"/>
      <c r="BH303" s="39">
        <f t="shared" si="902"/>
        <v>25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248</v>
      </c>
      <c r="C304" s="35">
        <v>68.0</v>
      </c>
      <c r="D304" s="35">
        <v>6846.0</v>
      </c>
      <c r="E304" s="35">
        <v>16.0</v>
      </c>
      <c r="F304" s="35">
        <f t="shared" si="888"/>
        <v>17</v>
      </c>
      <c r="G304" s="37">
        <f t="shared" si="889"/>
        <v>0.8823529412</v>
      </c>
      <c r="H304" s="38">
        <v>15.0</v>
      </c>
      <c r="I304" s="38">
        <f t="shared" si="903"/>
        <v>15</v>
      </c>
      <c r="J304" s="39"/>
      <c r="K304" s="40">
        <v>2027.0</v>
      </c>
      <c r="L304" s="24" t="s">
        <v>241</v>
      </c>
      <c r="M304" s="35"/>
      <c r="N304" s="35"/>
      <c r="O304" s="35"/>
      <c r="P304" s="39">
        <f t="shared" si="891"/>
        <v>15</v>
      </c>
      <c r="Q304" s="35"/>
      <c r="R304" s="35"/>
      <c r="S304" s="35"/>
      <c r="T304" s="39">
        <f t="shared" si="892"/>
        <v>15</v>
      </c>
      <c r="U304" s="35"/>
      <c r="V304" s="35"/>
      <c r="W304" s="35"/>
      <c r="X304" s="39">
        <f t="shared" si="893"/>
        <v>15</v>
      </c>
      <c r="Y304" s="35"/>
      <c r="Z304" s="35"/>
      <c r="AA304" s="35"/>
      <c r="AB304" s="39">
        <f t="shared" si="894"/>
        <v>15</v>
      </c>
      <c r="AC304" s="35"/>
      <c r="AD304" s="35"/>
      <c r="AE304" s="35"/>
      <c r="AF304" s="39">
        <f t="shared" si="895"/>
        <v>15</v>
      </c>
      <c r="AG304" s="35"/>
      <c r="AH304" s="35"/>
      <c r="AI304" s="35"/>
      <c r="AJ304" s="39">
        <f t="shared" si="896"/>
        <v>15</v>
      </c>
      <c r="AK304" s="35"/>
      <c r="AL304" s="35"/>
      <c r="AM304" s="35"/>
      <c r="AN304" s="39">
        <f t="shared" si="897"/>
        <v>15</v>
      </c>
      <c r="AO304" s="35"/>
      <c r="AP304" s="35"/>
      <c r="AQ304" s="35"/>
      <c r="AR304" s="39">
        <f t="shared" si="898"/>
        <v>15</v>
      </c>
      <c r="AS304" s="35"/>
      <c r="AT304" s="35"/>
      <c r="AU304" s="35"/>
      <c r="AV304" s="39">
        <f t="shared" si="899"/>
        <v>15</v>
      </c>
      <c r="AW304" s="35"/>
      <c r="AX304" s="35"/>
      <c r="AY304" s="35"/>
      <c r="AZ304" s="39">
        <f t="shared" si="900"/>
        <v>15</v>
      </c>
      <c r="BA304" s="35"/>
      <c r="BB304" s="35"/>
      <c r="BC304" s="35"/>
      <c r="BD304" s="39">
        <f t="shared" si="901"/>
        <v>15</v>
      </c>
      <c r="BE304" s="35"/>
      <c r="BF304" s="35"/>
      <c r="BG304" s="35"/>
      <c r="BH304" s="39">
        <f t="shared" si="902"/>
        <v>15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35" t="s">
        <v>249</v>
      </c>
      <c r="C305" s="35">
        <v>83.0</v>
      </c>
      <c r="D305" s="35">
        <v>3283.0</v>
      </c>
      <c r="E305" s="35">
        <v>26.0</v>
      </c>
      <c r="F305" s="35">
        <f t="shared" si="888"/>
        <v>27</v>
      </c>
      <c r="G305" s="37">
        <f t="shared" si="889"/>
        <v>1.111111111</v>
      </c>
      <c r="H305" s="38">
        <v>16.0</v>
      </c>
      <c r="I305" s="38">
        <f t="shared" si="903"/>
        <v>16</v>
      </c>
      <c r="J305" s="39"/>
      <c r="K305" s="40">
        <v>2025.0</v>
      </c>
      <c r="L305" s="24" t="s">
        <v>241</v>
      </c>
      <c r="M305" s="35"/>
      <c r="N305" s="35"/>
      <c r="O305" s="35"/>
      <c r="P305" s="39">
        <f t="shared" si="891"/>
        <v>16</v>
      </c>
      <c r="Q305" s="35"/>
      <c r="R305" s="35"/>
      <c r="S305" s="35"/>
      <c r="T305" s="39">
        <f t="shared" si="892"/>
        <v>16</v>
      </c>
      <c r="U305" s="35"/>
      <c r="V305" s="35"/>
      <c r="W305" s="35"/>
      <c r="X305" s="39">
        <f t="shared" si="893"/>
        <v>16</v>
      </c>
      <c r="Y305" s="35"/>
      <c r="Z305" s="35"/>
      <c r="AA305" s="35"/>
      <c r="AB305" s="39">
        <f t="shared" si="894"/>
        <v>16</v>
      </c>
      <c r="AC305" s="35"/>
      <c r="AD305" s="35"/>
      <c r="AE305" s="35"/>
      <c r="AF305" s="39">
        <f t="shared" si="895"/>
        <v>16</v>
      </c>
      <c r="AG305" s="35"/>
      <c r="AH305" s="35"/>
      <c r="AI305" s="35"/>
      <c r="AJ305" s="39">
        <f t="shared" si="896"/>
        <v>16</v>
      </c>
      <c r="AK305" s="35"/>
      <c r="AL305" s="35"/>
      <c r="AM305" s="35"/>
      <c r="AN305" s="39">
        <f t="shared" si="897"/>
        <v>16</v>
      </c>
      <c r="AO305" s="35"/>
      <c r="AP305" s="35"/>
      <c r="AQ305" s="35"/>
      <c r="AR305" s="39">
        <f t="shared" si="898"/>
        <v>16</v>
      </c>
      <c r="AS305" s="41">
        <v>3.0</v>
      </c>
      <c r="AT305" s="41">
        <v>7.0</v>
      </c>
      <c r="AU305" s="41">
        <v>4.0</v>
      </c>
      <c r="AV305" s="39">
        <f t="shared" si="899"/>
        <v>30</v>
      </c>
      <c r="AW305" s="35"/>
      <c r="AX305" s="35"/>
      <c r="AY305" s="35"/>
      <c r="AZ305" s="39">
        <f t="shared" si="900"/>
        <v>30</v>
      </c>
      <c r="BA305" s="35"/>
      <c r="BB305" s="35"/>
      <c r="BC305" s="35"/>
      <c r="BD305" s="39">
        <f t="shared" si="901"/>
        <v>30</v>
      </c>
      <c r="BE305" s="35"/>
      <c r="BF305" s="35"/>
      <c r="BG305" s="35"/>
      <c r="BH305" s="39">
        <f t="shared" si="902"/>
        <v>30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35"/>
      <c r="B306" s="35" t="s">
        <v>250</v>
      </c>
      <c r="C306" s="35">
        <v>86.0</v>
      </c>
      <c r="D306" s="35">
        <v>7340.0</v>
      </c>
      <c r="E306" s="35">
        <v>41.0</v>
      </c>
      <c r="F306" s="35">
        <f t="shared" si="888"/>
        <v>42</v>
      </c>
      <c r="G306" s="37">
        <f t="shared" si="889"/>
        <v>0.7619047619</v>
      </c>
      <c r="H306" s="38">
        <v>32.0</v>
      </c>
      <c r="I306" s="38">
        <f t="shared" si="903"/>
        <v>32</v>
      </c>
      <c r="J306" s="39"/>
      <c r="K306" s="40">
        <v>2027.0</v>
      </c>
      <c r="L306" s="24" t="s">
        <v>241</v>
      </c>
      <c r="M306" s="35"/>
      <c r="N306" s="35"/>
      <c r="O306" s="35"/>
      <c r="P306" s="39">
        <f t="shared" si="891"/>
        <v>32</v>
      </c>
      <c r="Q306" s="35"/>
      <c r="R306" s="35"/>
      <c r="S306" s="35"/>
      <c r="T306" s="39">
        <f t="shared" si="892"/>
        <v>32</v>
      </c>
      <c r="U306" s="35"/>
      <c r="V306" s="35"/>
      <c r="W306" s="35"/>
      <c r="X306" s="39">
        <f t="shared" si="893"/>
        <v>32</v>
      </c>
      <c r="Y306" s="35"/>
      <c r="Z306" s="35"/>
      <c r="AA306" s="35"/>
      <c r="AB306" s="39">
        <f t="shared" si="894"/>
        <v>32</v>
      </c>
      <c r="AC306" s="35"/>
      <c r="AD306" s="35"/>
      <c r="AE306" s="35"/>
      <c r="AF306" s="39">
        <f t="shared" si="895"/>
        <v>32</v>
      </c>
      <c r="AG306" s="35"/>
      <c r="AH306" s="35"/>
      <c r="AI306" s="35"/>
      <c r="AJ306" s="39">
        <f t="shared" si="896"/>
        <v>32</v>
      </c>
      <c r="AK306" s="35"/>
      <c r="AL306" s="35"/>
      <c r="AM306" s="35"/>
      <c r="AN306" s="39">
        <f t="shared" si="897"/>
        <v>32</v>
      </c>
      <c r="AO306" s="35"/>
      <c r="AP306" s="35"/>
      <c r="AQ306" s="35"/>
      <c r="AR306" s="39">
        <f t="shared" si="898"/>
        <v>32</v>
      </c>
      <c r="AS306" s="35"/>
      <c r="AT306" s="35"/>
      <c r="AU306" s="35"/>
      <c r="AV306" s="39">
        <f t="shared" si="899"/>
        <v>32</v>
      </c>
      <c r="AW306" s="35"/>
      <c r="AX306" s="35"/>
      <c r="AY306" s="35"/>
      <c r="AZ306" s="39">
        <f t="shared" si="900"/>
        <v>32</v>
      </c>
      <c r="BA306" s="35"/>
      <c r="BB306" s="35"/>
      <c r="BC306" s="35"/>
      <c r="BD306" s="39">
        <f t="shared" si="901"/>
        <v>32</v>
      </c>
      <c r="BE306" s="35"/>
      <c r="BF306" s="35"/>
      <c r="BG306" s="35"/>
      <c r="BH306" s="39">
        <f t="shared" si="902"/>
        <v>32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35"/>
      <c r="B307" s="21" t="s">
        <v>251</v>
      </c>
      <c r="C307" s="21">
        <v>92.0</v>
      </c>
      <c r="D307" s="21">
        <v>1500.0</v>
      </c>
      <c r="E307" s="21">
        <v>55.0</v>
      </c>
      <c r="F307" s="35">
        <f t="shared" si="888"/>
        <v>56</v>
      </c>
      <c r="G307" s="37">
        <f t="shared" si="889"/>
        <v>0.9642857143</v>
      </c>
      <c r="H307" s="23">
        <v>38.0</v>
      </c>
      <c r="I307" s="23">
        <f t="shared" si="903"/>
        <v>39</v>
      </c>
      <c r="J307" s="55">
        <v>1.0</v>
      </c>
      <c r="K307" s="24">
        <v>2027.0</v>
      </c>
      <c r="L307" s="24" t="s">
        <v>241</v>
      </c>
      <c r="M307" s="21"/>
      <c r="N307" s="21"/>
      <c r="O307" s="21"/>
      <c r="P307" s="25">
        <f t="shared" si="891"/>
        <v>38</v>
      </c>
      <c r="Q307" s="21">
        <v>2.0</v>
      </c>
      <c r="R307" s="21"/>
      <c r="S307" s="21"/>
      <c r="T307" s="25">
        <f t="shared" si="892"/>
        <v>40</v>
      </c>
      <c r="U307" s="21"/>
      <c r="V307" s="21"/>
      <c r="W307" s="21"/>
      <c r="X307" s="25">
        <f t="shared" si="893"/>
        <v>40</v>
      </c>
      <c r="Y307" s="21"/>
      <c r="Z307" s="21"/>
      <c r="AA307" s="21"/>
      <c r="AB307" s="25">
        <f t="shared" si="894"/>
        <v>40</v>
      </c>
      <c r="AC307" s="21"/>
      <c r="AD307" s="21"/>
      <c r="AE307" s="21"/>
      <c r="AF307" s="25">
        <f t="shared" si="895"/>
        <v>40</v>
      </c>
      <c r="AG307" s="21"/>
      <c r="AH307" s="21"/>
      <c r="AI307" s="21"/>
      <c r="AJ307" s="25">
        <f t="shared" si="896"/>
        <v>40</v>
      </c>
      <c r="AK307" s="21"/>
      <c r="AL307" s="21"/>
      <c r="AM307" s="21"/>
      <c r="AN307" s="25">
        <f t="shared" si="897"/>
        <v>40</v>
      </c>
      <c r="AO307" s="21"/>
      <c r="AP307" s="18">
        <v>14.0</v>
      </c>
      <c r="AQ307" s="21"/>
      <c r="AR307" s="25">
        <f t="shared" si="898"/>
        <v>54</v>
      </c>
      <c r="AS307" s="21"/>
      <c r="AT307" s="21"/>
      <c r="AU307" s="21"/>
      <c r="AV307" s="25">
        <f t="shared" si="899"/>
        <v>54</v>
      </c>
      <c r="AW307" s="21"/>
      <c r="AX307" s="21"/>
      <c r="AY307" s="21"/>
      <c r="AZ307" s="25">
        <f t="shared" si="900"/>
        <v>54</v>
      </c>
      <c r="BA307" s="21"/>
      <c r="BB307" s="21"/>
      <c r="BC307" s="21"/>
      <c r="BD307" s="25">
        <f t="shared" si="901"/>
        <v>54</v>
      </c>
      <c r="BE307" s="21"/>
      <c r="BF307" s="21"/>
      <c r="BG307" s="21"/>
      <c r="BH307" s="25">
        <f t="shared" si="902"/>
        <v>54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21"/>
      <c r="B308" s="21"/>
      <c r="C308" s="21"/>
      <c r="D308" s="21"/>
      <c r="E308" s="21"/>
      <c r="F308" s="21"/>
      <c r="G308" s="21"/>
      <c r="H308" s="25"/>
      <c r="I308" s="25"/>
      <c r="J308" s="25"/>
      <c r="K308" s="21"/>
      <c r="L308" s="21"/>
      <c r="M308" s="21">
        <f t="shared" ref="M308:BH308" si="904">SUM(M297:M307)</f>
        <v>0</v>
      </c>
      <c r="N308" s="21">
        <f t="shared" si="904"/>
        <v>0</v>
      </c>
      <c r="O308" s="21">
        <f t="shared" si="904"/>
        <v>0</v>
      </c>
      <c r="P308" s="25">
        <f t="shared" si="904"/>
        <v>237</v>
      </c>
      <c r="Q308" s="21">
        <f t="shared" si="904"/>
        <v>6</v>
      </c>
      <c r="R308" s="21">
        <f t="shared" si="904"/>
        <v>9</v>
      </c>
      <c r="S308" s="21">
        <f t="shared" si="904"/>
        <v>0</v>
      </c>
      <c r="T308" s="21">
        <f t="shared" si="904"/>
        <v>252</v>
      </c>
      <c r="U308" s="21">
        <f t="shared" si="904"/>
        <v>0</v>
      </c>
      <c r="V308" s="21">
        <f t="shared" si="904"/>
        <v>0</v>
      </c>
      <c r="W308" s="21">
        <f t="shared" si="904"/>
        <v>0</v>
      </c>
      <c r="X308" s="21">
        <f t="shared" si="904"/>
        <v>252</v>
      </c>
      <c r="Y308" s="21">
        <f t="shared" si="904"/>
        <v>1</v>
      </c>
      <c r="Z308" s="21">
        <f t="shared" si="904"/>
        <v>0</v>
      </c>
      <c r="AA308" s="21">
        <f t="shared" si="904"/>
        <v>0</v>
      </c>
      <c r="AB308" s="21">
        <f t="shared" si="904"/>
        <v>253</v>
      </c>
      <c r="AC308" s="21">
        <f t="shared" si="904"/>
        <v>0</v>
      </c>
      <c r="AD308" s="21">
        <f t="shared" si="904"/>
        <v>0</v>
      </c>
      <c r="AE308" s="21">
        <f t="shared" si="904"/>
        <v>0</v>
      </c>
      <c r="AF308" s="21">
        <f t="shared" si="904"/>
        <v>253</v>
      </c>
      <c r="AG308" s="21">
        <f t="shared" si="904"/>
        <v>0</v>
      </c>
      <c r="AH308" s="21">
        <f t="shared" si="904"/>
        <v>0</v>
      </c>
      <c r="AI308" s="21">
        <f t="shared" si="904"/>
        <v>1</v>
      </c>
      <c r="AJ308" s="21">
        <f t="shared" si="904"/>
        <v>254</v>
      </c>
      <c r="AK308" s="21">
        <f t="shared" si="904"/>
        <v>1</v>
      </c>
      <c r="AL308" s="21">
        <f t="shared" si="904"/>
        <v>3</v>
      </c>
      <c r="AM308" s="21">
        <f t="shared" si="904"/>
        <v>0</v>
      </c>
      <c r="AN308" s="21">
        <f t="shared" si="904"/>
        <v>258</v>
      </c>
      <c r="AO308" s="21">
        <f t="shared" si="904"/>
        <v>0</v>
      </c>
      <c r="AP308" s="21">
        <f t="shared" si="904"/>
        <v>14</v>
      </c>
      <c r="AQ308" s="21">
        <f t="shared" si="904"/>
        <v>0</v>
      </c>
      <c r="AR308" s="21">
        <f t="shared" si="904"/>
        <v>272</v>
      </c>
      <c r="AS308" s="21">
        <f t="shared" si="904"/>
        <v>3</v>
      </c>
      <c r="AT308" s="21">
        <f t="shared" si="904"/>
        <v>8</v>
      </c>
      <c r="AU308" s="21">
        <f t="shared" si="904"/>
        <v>4</v>
      </c>
      <c r="AV308" s="21">
        <f t="shared" si="904"/>
        <v>287</v>
      </c>
      <c r="AW308" s="21">
        <f t="shared" si="904"/>
        <v>1</v>
      </c>
      <c r="AX308" s="21">
        <f t="shared" si="904"/>
        <v>3</v>
      </c>
      <c r="AY308" s="21">
        <f t="shared" si="904"/>
        <v>0</v>
      </c>
      <c r="AZ308" s="21">
        <f t="shared" si="904"/>
        <v>291</v>
      </c>
      <c r="BA308" s="21">
        <f t="shared" si="904"/>
        <v>0</v>
      </c>
      <c r="BB308" s="21">
        <f t="shared" si="904"/>
        <v>4</v>
      </c>
      <c r="BC308" s="21">
        <f t="shared" si="904"/>
        <v>0</v>
      </c>
      <c r="BD308" s="21">
        <f t="shared" si="904"/>
        <v>295</v>
      </c>
      <c r="BE308" s="21">
        <f t="shared" si="904"/>
        <v>1</v>
      </c>
      <c r="BF308" s="21">
        <f t="shared" si="904"/>
        <v>3</v>
      </c>
      <c r="BG308" s="21">
        <f t="shared" si="904"/>
        <v>0</v>
      </c>
      <c r="BH308" s="21">
        <f t="shared" si="904"/>
        <v>299</v>
      </c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21"/>
      <c r="B309" s="21" t="s">
        <v>35</v>
      </c>
      <c r="C309" s="21">
        <f>COUNT(D298:D307)</f>
        <v>10</v>
      </c>
      <c r="D309" s="21"/>
      <c r="E309" s="21">
        <f>SUM(E297:E307)</f>
        <v>314</v>
      </c>
      <c r="F309" s="21">
        <f>SUM(E297:E307)+1</f>
        <v>315</v>
      </c>
      <c r="G309" s="22">
        <f>$BH308/F309</f>
        <v>0.9492063492</v>
      </c>
      <c r="H309" s="25">
        <f t="shared" ref="H309:I309" si="905">SUM(H297:H308)</f>
        <v>237</v>
      </c>
      <c r="I309" s="25">
        <f t="shared" si="905"/>
        <v>238</v>
      </c>
      <c r="J309" s="25">
        <f>SUM(J297:J307)</f>
        <v>1</v>
      </c>
      <c r="K309" s="21"/>
      <c r="L309" s="21"/>
      <c r="M309" s="21"/>
      <c r="N309" s="21"/>
      <c r="O309" s="21"/>
      <c r="P309" s="22">
        <f>P308/F309</f>
        <v>0.7523809524</v>
      </c>
      <c r="Q309" s="21">
        <f t="shared" ref="Q309:S309" si="906">M308+Q308</f>
        <v>6</v>
      </c>
      <c r="R309" s="21">
        <f t="shared" si="906"/>
        <v>9</v>
      </c>
      <c r="S309" s="21">
        <f t="shared" si="906"/>
        <v>0</v>
      </c>
      <c r="T309" s="22">
        <f>T308/F309</f>
        <v>0.8</v>
      </c>
      <c r="U309" s="21">
        <f t="shared" ref="U309:W309" si="907">Q309+U308</f>
        <v>6</v>
      </c>
      <c r="V309" s="21">
        <f t="shared" si="907"/>
        <v>9</v>
      </c>
      <c r="W309" s="21">
        <f t="shared" si="907"/>
        <v>0</v>
      </c>
      <c r="X309" s="22">
        <f>X308/F309</f>
        <v>0.8</v>
      </c>
      <c r="Y309" s="21">
        <f t="shared" ref="Y309:AA309" si="908">U309+Y308</f>
        <v>7</v>
      </c>
      <c r="Z309" s="21">
        <f t="shared" si="908"/>
        <v>9</v>
      </c>
      <c r="AA309" s="21">
        <f t="shared" si="908"/>
        <v>0</v>
      </c>
      <c r="AB309" s="22">
        <f>AB308/F309</f>
        <v>0.8031746032</v>
      </c>
      <c r="AC309" s="21">
        <f t="shared" ref="AC309:AE309" si="909">Y309+AC308</f>
        <v>7</v>
      </c>
      <c r="AD309" s="21">
        <f t="shared" si="909"/>
        <v>9</v>
      </c>
      <c r="AE309" s="21">
        <f t="shared" si="909"/>
        <v>0</v>
      </c>
      <c r="AF309" s="22">
        <f>AF308/F309</f>
        <v>0.8031746032</v>
      </c>
      <c r="AG309" s="21">
        <f t="shared" ref="AG309:AI309" si="910">AC309+AG308</f>
        <v>7</v>
      </c>
      <c r="AH309" s="21">
        <f t="shared" si="910"/>
        <v>9</v>
      </c>
      <c r="AI309" s="21">
        <f t="shared" si="910"/>
        <v>1</v>
      </c>
      <c r="AJ309" s="22">
        <f>AJ308/F309</f>
        <v>0.8063492063</v>
      </c>
      <c r="AK309" s="21">
        <f t="shared" ref="AK309:AM309" si="911">AG309+AK308</f>
        <v>8</v>
      </c>
      <c r="AL309" s="21">
        <f t="shared" si="911"/>
        <v>12</v>
      </c>
      <c r="AM309" s="21">
        <f t="shared" si="911"/>
        <v>1</v>
      </c>
      <c r="AN309" s="22">
        <f>AN308/F309</f>
        <v>0.819047619</v>
      </c>
      <c r="AO309" s="21">
        <f t="shared" ref="AO309:AQ309" si="912">AK309+AO308</f>
        <v>8</v>
      </c>
      <c r="AP309" s="21">
        <f t="shared" si="912"/>
        <v>26</v>
      </c>
      <c r="AQ309" s="21">
        <f t="shared" si="912"/>
        <v>1</v>
      </c>
      <c r="AR309" s="22">
        <f>AR308/F309</f>
        <v>0.8634920635</v>
      </c>
      <c r="AS309" s="21">
        <f t="shared" ref="AS309:AU309" si="913">AO309+AS308</f>
        <v>11</v>
      </c>
      <c r="AT309" s="21">
        <f t="shared" si="913"/>
        <v>34</v>
      </c>
      <c r="AU309" s="21">
        <f t="shared" si="913"/>
        <v>5</v>
      </c>
      <c r="AV309" s="22">
        <f>AV308/F309</f>
        <v>0.9111111111</v>
      </c>
      <c r="AW309" s="21">
        <f t="shared" ref="AW309:AY309" si="914">AS309+AW308</f>
        <v>12</v>
      </c>
      <c r="AX309" s="21">
        <f t="shared" si="914"/>
        <v>37</v>
      </c>
      <c r="AY309" s="21">
        <f t="shared" si="914"/>
        <v>5</v>
      </c>
      <c r="AZ309" s="22">
        <f>AZ308/F309</f>
        <v>0.9238095238</v>
      </c>
      <c r="BA309" s="21">
        <f t="shared" ref="BA309:BC309" si="915">AW309+BA308</f>
        <v>12</v>
      </c>
      <c r="BB309" s="21">
        <f t="shared" si="915"/>
        <v>41</v>
      </c>
      <c r="BC309" s="21">
        <f t="shared" si="915"/>
        <v>5</v>
      </c>
      <c r="BD309" s="22">
        <f>BD308/F309</f>
        <v>0.9365079365</v>
      </c>
      <c r="BE309" s="21">
        <f t="shared" ref="BE309:BG309" si="916">BA309+BE308</f>
        <v>13</v>
      </c>
      <c r="BF309" s="21">
        <f t="shared" si="916"/>
        <v>44</v>
      </c>
      <c r="BG309" s="21">
        <f t="shared" si="916"/>
        <v>5</v>
      </c>
      <c r="BH309" s="22">
        <f>BH308/F309</f>
        <v>0.9492063492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16"/>
      <c r="B310" s="16"/>
      <c r="C310" s="16"/>
      <c r="D310" s="16"/>
      <c r="E310" s="16"/>
      <c r="F310" s="16"/>
      <c r="G310" s="16"/>
      <c r="H310" s="31"/>
      <c r="I310" s="31"/>
      <c r="J310" s="3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3" t="s">
        <v>252</v>
      </c>
      <c r="B311" s="21"/>
      <c r="C311" s="21"/>
      <c r="D311" s="21"/>
      <c r="E311" s="21"/>
      <c r="F311" s="21"/>
      <c r="G311" s="22"/>
      <c r="H311" s="25"/>
      <c r="I311" s="25"/>
      <c r="J311" s="25"/>
      <c r="K311" s="21">
        <v>2027.0</v>
      </c>
      <c r="L311" s="21">
        <v>2025.0</v>
      </c>
      <c r="M311" s="21"/>
      <c r="N311" s="21"/>
      <c r="O311" s="21"/>
      <c r="P311" s="25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>
      <c r="A312" s="35"/>
      <c r="B312" s="35" t="s">
        <v>253</v>
      </c>
      <c r="C312" s="35">
        <v>1.0</v>
      </c>
      <c r="D312" s="35">
        <v>577.0</v>
      </c>
      <c r="E312" s="35">
        <v>17.0</v>
      </c>
      <c r="F312" s="35">
        <f t="shared" ref="F312:F318" si="917">E312+1</f>
        <v>18</v>
      </c>
      <c r="G312" s="63">
        <f t="shared" ref="G312:G318" si="918">$BH312/F312</f>
        <v>0.3888888889</v>
      </c>
      <c r="H312" s="39">
        <v>7.0</v>
      </c>
      <c r="I312" s="39">
        <f t="shared" ref="I312:I318" si="919">+H312+J312</f>
        <v>7</v>
      </c>
      <c r="J312" s="39"/>
      <c r="K312" s="35">
        <v>2025.0</v>
      </c>
      <c r="L312" s="21">
        <v>2025.0</v>
      </c>
      <c r="M312" s="35"/>
      <c r="N312" s="35"/>
      <c r="O312" s="35"/>
      <c r="P312" s="39">
        <f t="shared" ref="P312:P318" si="920">+H312+SUM(M312:O312)</f>
        <v>7</v>
      </c>
      <c r="Q312" s="35"/>
      <c r="R312" s="35"/>
      <c r="S312" s="35"/>
      <c r="T312" s="39">
        <f t="shared" ref="T312:T318" si="921">SUM(P312:S312)</f>
        <v>7</v>
      </c>
      <c r="U312" s="35"/>
      <c r="V312" s="35"/>
      <c r="W312" s="35"/>
      <c r="X312" s="39">
        <f t="shared" ref="X312:X318" si="922">SUM(T312:W312)</f>
        <v>7</v>
      </c>
      <c r="Y312" s="35"/>
      <c r="Z312" s="35"/>
      <c r="AA312" s="35"/>
      <c r="AB312" s="39">
        <f t="shared" ref="AB312:AB318" si="923">SUM(X312:AA312)</f>
        <v>7</v>
      </c>
      <c r="AC312" s="35"/>
      <c r="AD312" s="35"/>
      <c r="AE312" s="35"/>
      <c r="AF312" s="39">
        <f t="shared" ref="AF312:AF318" si="924">SUM(AB312:AE312)</f>
        <v>7</v>
      </c>
      <c r="AG312" s="35"/>
      <c r="AH312" s="35"/>
      <c r="AI312" s="35"/>
      <c r="AJ312" s="39">
        <f t="shared" ref="AJ312:AJ318" si="925">SUM(AF312:AI312)</f>
        <v>7</v>
      </c>
      <c r="AK312" s="35"/>
      <c r="AL312" s="35"/>
      <c r="AM312" s="35"/>
      <c r="AN312" s="39">
        <f t="shared" ref="AN312:AN318" si="926">SUM(AJ312:AM312)</f>
        <v>7</v>
      </c>
      <c r="AO312" s="35"/>
      <c r="AP312" s="35"/>
      <c r="AQ312" s="35"/>
      <c r="AR312" s="39">
        <f t="shared" ref="AR312:AR318" si="927">SUM(AN312:AQ312)</f>
        <v>7</v>
      </c>
      <c r="AS312" s="35"/>
      <c r="AT312" s="35"/>
      <c r="AU312" s="35"/>
      <c r="AV312" s="39">
        <f t="shared" ref="AV312:AV318" si="928">SUM(AR312:AU312)</f>
        <v>7</v>
      </c>
      <c r="AW312" s="35"/>
      <c r="AX312" s="35"/>
      <c r="AY312" s="35"/>
      <c r="AZ312" s="39">
        <f t="shared" ref="AZ312:AZ318" si="929">SUM(AV312:AY312)</f>
        <v>7</v>
      </c>
      <c r="BA312" s="35"/>
      <c r="BB312" s="35"/>
      <c r="BC312" s="35"/>
      <c r="BD312" s="39">
        <f t="shared" ref="BD312:BD318" si="930">SUM(AZ312:BC312)</f>
        <v>7</v>
      </c>
      <c r="BE312" s="35"/>
      <c r="BF312" s="35"/>
      <c r="BG312" s="35"/>
      <c r="BH312" s="39">
        <f t="shared" ref="BH312:BH318" si="931">SUM(BD312:BG312)</f>
        <v>7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>
      <c r="A313" s="35"/>
      <c r="B313" s="116" t="s">
        <v>254</v>
      </c>
      <c r="C313" s="35">
        <v>2.0</v>
      </c>
      <c r="D313" s="35">
        <v>4518.0</v>
      </c>
      <c r="E313" s="36">
        <v>29.0</v>
      </c>
      <c r="F313" s="35">
        <f t="shared" si="917"/>
        <v>30</v>
      </c>
      <c r="G313" s="63">
        <f t="shared" si="918"/>
        <v>0.2666666667</v>
      </c>
      <c r="H313" s="39">
        <v>8.0</v>
      </c>
      <c r="I313" s="39">
        <f t="shared" si="919"/>
        <v>8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20"/>
        <v>8</v>
      </c>
      <c r="Q313" s="35"/>
      <c r="R313" s="35"/>
      <c r="S313" s="35"/>
      <c r="T313" s="39">
        <f t="shared" si="921"/>
        <v>8</v>
      </c>
      <c r="U313" s="35"/>
      <c r="V313" s="35"/>
      <c r="W313" s="35"/>
      <c r="X313" s="39">
        <f t="shared" si="922"/>
        <v>8</v>
      </c>
      <c r="Y313" s="35"/>
      <c r="Z313" s="35"/>
      <c r="AA313" s="35"/>
      <c r="AB313" s="39">
        <f t="shared" si="923"/>
        <v>8</v>
      </c>
      <c r="AC313" s="35"/>
      <c r="AD313" s="35"/>
      <c r="AE313" s="35"/>
      <c r="AF313" s="39">
        <f t="shared" si="924"/>
        <v>8</v>
      </c>
      <c r="AG313" s="35"/>
      <c r="AH313" s="35"/>
      <c r="AI313" s="35"/>
      <c r="AJ313" s="39">
        <f t="shared" si="925"/>
        <v>8</v>
      </c>
      <c r="AK313" s="35"/>
      <c r="AL313" s="35"/>
      <c r="AM313" s="35"/>
      <c r="AN313" s="39">
        <f t="shared" si="926"/>
        <v>8</v>
      </c>
      <c r="AO313" s="35"/>
      <c r="AP313" s="35"/>
      <c r="AQ313" s="35"/>
      <c r="AR313" s="39">
        <f t="shared" si="927"/>
        <v>8</v>
      </c>
      <c r="AS313" s="35"/>
      <c r="AT313" s="35"/>
      <c r="AU313" s="35"/>
      <c r="AV313" s="39">
        <f t="shared" si="928"/>
        <v>8</v>
      </c>
      <c r="AW313" s="35"/>
      <c r="AX313" s="35"/>
      <c r="AY313" s="35"/>
      <c r="AZ313" s="39">
        <f t="shared" si="929"/>
        <v>8</v>
      </c>
      <c r="BA313" s="41"/>
      <c r="BB313" s="35"/>
      <c r="BC313" s="35"/>
      <c r="BD313" s="39">
        <f t="shared" si="930"/>
        <v>8</v>
      </c>
      <c r="BE313" s="35"/>
      <c r="BF313" s="35"/>
      <c r="BG313" s="35"/>
      <c r="BH313" s="39">
        <f t="shared" si="931"/>
        <v>8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10" t="s">
        <v>255</v>
      </c>
      <c r="C314" s="35">
        <v>4.0</v>
      </c>
      <c r="D314" s="110">
        <v>9265.0</v>
      </c>
      <c r="E314" s="35">
        <v>34.0</v>
      </c>
      <c r="F314" s="35">
        <f t="shared" si="917"/>
        <v>35</v>
      </c>
      <c r="G314" s="63">
        <f t="shared" si="918"/>
        <v>0.3714285714</v>
      </c>
      <c r="H314" s="39">
        <v>13.0</v>
      </c>
      <c r="I314" s="39">
        <f t="shared" si="919"/>
        <v>13</v>
      </c>
      <c r="J314" s="39"/>
      <c r="K314" s="41">
        <v>2027.0</v>
      </c>
      <c r="L314" s="21">
        <v>2025.0</v>
      </c>
      <c r="M314" s="35"/>
      <c r="N314" s="35"/>
      <c r="O314" s="35"/>
      <c r="P314" s="39">
        <f t="shared" si="920"/>
        <v>13</v>
      </c>
      <c r="Q314" s="35"/>
      <c r="R314" s="35"/>
      <c r="S314" s="35"/>
      <c r="T314" s="39">
        <f t="shared" si="921"/>
        <v>13</v>
      </c>
      <c r="U314" s="35"/>
      <c r="V314" s="35"/>
      <c r="W314" s="35"/>
      <c r="X314" s="39">
        <f t="shared" si="922"/>
        <v>13</v>
      </c>
      <c r="Y314" s="35"/>
      <c r="Z314" s="35"/>
      <c r="AA314" s="35"/>
      <c r="AB314" s="39">
        <f t="shared" si="923"/>
        <v>13</v>
      </c>
      <c r="AC314" s="35"/>
      <c r="AD314" s="35"/>
      <c r="AE314" s="35"/>
      <c r="AF314" s="39">
        <f t="shared" si="924"/>
        <v>13</v>
      </c>
      <c r="AG314" s="35"/>
      <c r="AH314" s="35"/>
      <c r="AI314" s="35"/>
      <c r="AJ314" s="39">
        <f t="shared" si="925"/>
        <v>13</v>
      </c>
      <c r="AK314" s="35"/>
      <c r="AL314" s="35"/>
      <c r="AM314" s="35"/>
      <c r="AN314" s="39">
        <f t="shared" si="926"/>
        <v>13</v>
      </c>
      <c r="AO314" s="35"/>
      <c r="AP314" s="35"/>
      <c r="AQ314" s="35"/>
      <c r="AR314" s="39">
        <f t="shared" si="927"/>
        <v>13</v>
      </c>
      <c r="AS314" s="35"/>
      <c r="AT314" s="35"/>
      <c r="AU314" s="35"/>
      <c r="AV314" s="39">
        <f t="shared" si="928"/>
        <v>13</v>
      </c>
      <c r="AW314" s="35"/>
      <c r="AX314" s="35"/>
      <c r="AY314" s="35"/>
      <c r="AZ314" s="39">
        <f t="shared" si="929"/>
        <v>13</v>
      </c>
      <c r="BA314" s="35"/>
      <c r="BB314" s="35"/>
      <c r="BC314" s="35"/>
      <c r="BD314" s="39">
        <f t="shared" si="930"/>
        <v>13</v>
      </c>
      <c r="BE314" s="35"/>
      <c r="BF314" s="35"/>
      <c r="BG314" s="35"/>
      <c r="BH314" s="39">
        <f t="shared" si="931"/>
        <v>13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110" t="s">
        <v>256</v>
      </c>
      <c r="C315" s="35">
        <v>5.0</v>
      </c>
      <c r="D315" s="110"/>
      <c r="E315" s="35">
        <v>14.0</v>
      </c>
      <c r="F315" s="35">
        <f t="shared" si="917"/>
        <v>15</v>
      </c>
      <c r="G315" s="63">
        <f t="shared" si="918"/>
        <v>0</v>
      </c>
      <c r="H315" s="39">
        <v>0.0</v>
      </c>
      <c r="I315" s="39">
        <f t="shared" si="919"/>
        <v>0</v>
      </c>
      <c r="J315" s="39"/>
      <c r="K315" s="35"/>
      <c r="L315" s="21">
        <v>2025.0</v>
      </c>
      <c r="M315" s="35"/>
      <c r="N315" s="35"/>
      <c r="O315" s="35"/>
      <c r="P315" s="39">
        <f t="shared" si="920"/>
        <v>0</v>
      </c>
      <c r="Q315" s="35"/>
      <c r="R315" s="35"/>
      <c r="S315" s="35"/>
      <c r="T315" s="39">
        <f t="shared" si="921"/>
        <v>0</v>
      </c>
      <c r="U315" s="35"/>
      <c r="V315" s="35"/>
      <c r="W315" s="35"/>
      <c r="X315" s="39">
        <f t="shared" si="922"/>
        <v>0</v>
      </c>
      <c r="Y315" s="35"/>
      <c r="Z315" s="35"/>
      <c r="AA315" s="35"/>
      <c r="AB315" s="39">
        <f t="shared" si="923"/>
        <v>0</v>
      </c>
      <c r="AC315" s="35"/>
      <c r="AD315" s="35"/>
      <c r="AE315" s="35"/>
      <c r="AF315" s="39">
        <f t="shared" si="924"/>
        <v>0</v>
      </c>
      <c r="AG315" s="35"/>
      <c r="AH315" s="35"/>
      <c r="AI315" s="35"/>
      <c r="AJ315" s="39">
        <f t="shared" si="925"/>
        <v>0</v>
      </c>
      <c r="AK315" s="35"/>
      <c r="AL315" s="35"/>
      <c r="AM315" s="35"/>
      <c r="AN315" s="39">
        <f t="shared" si="926"/>
        <v>0</v>
      </c>
      <c r="AO315" s="35"/>
      <c r="AP315" s="35"/>
      <c r="AQ315" s="35"/>
      <c r="AR315" s="39">
        <f t="shared" si="927"/>
        <v>0</v>
      </c>
      <c r="AS315" s="35"/>
      <c r="AT315" s="35"/>
      <c r="AU315" s="35"/>
      <c r="AV315" s="39">
        <f t="shared" si="928"/>
        <v>0</v>
      </c>
      <c r="AW315" s="35"/>
      <c r="AX315" s="35"/>
      <c r="AY315" s="35"/>
      <c r="AZ315" s="39">
        <f t="shared" si="929"/>
        <v>0</v>
      </c>
      <c r="BA315" s="35"/>
      <c r="BB315" s="35"/>
      <c r="BC315" s="35"/>
      <c r="BD315" s="39">
        <f t="shared" si="930"/>
        <v>0</v>
      </c>
      <c r="BE315" s="35"/>
      <c r="BF315" s="35"/>
      <c r="BG315" s="35"/>
      <c r="BH315" s="39">
        <f t="shared" si="931"/>
        <v>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10" t="s">
        <v>257</v>
      </c>
      <c r="C316" s="35">
        <v>7.0</v>
      </c>
      <c r="D316" s="110">
        <v>7977.0</v>
      </c>
      <c r="E316" s="35">
        <v>31.0</v>
      </c>
      <c r="F316" s="35">
        <f t="shared" si="917"/>
        <v>32</v>
      </c>
      <c r="G316" s="63">
        <f t="shared" si="918"/>
        <v>0.1875</v>
      </c>
      <c r="H316" s="39">
        <v>6.0</v>
      </c>
      <c r="I316" s="39">
        <f t="shared" si="919"/>
        <v>6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6</v>
      </c>
      <c r="Q316" s="35"/>
      <c r="R316" s="35"/>
      <c r="S316" s="35"/>
      <c r="T316" s="39">
        <f t="shared" si="921"/>
        <v>6</v>
      </c>
      <c r="U316" s="35"/>
      <c r="V316" s="35"/>
      <c r="W316" s="35"/>
      <c r="X316" s="39">
        <f t="shared" si="922"/>
        <v>6</v>
      </c>
      <c r="Y316" s="35"/>
      <c r="Z316" s="35"/>
      <c r="AA316" s="35"/>
      <c r="AB316" s="39">
        <f t="shared" si="923"/>
        <v>6</v>
      </c>
      <c r="AC316" s="35"/>
      <c r="AD316" s="35"/>
      <c r="AE316" s="35"/>
      <c r="AF316" s="39">
        <f t="shared" si="924"/>
        <v>6</v>
      </c>
      <c r="AG316" s="35"/>
      <c r="AH316" s="35"/>
      <c r="AI316" s="35"/>
      <c r="AJ316" s="39">
        <f t="shared" si="925"/>
        <v>6</v>
      </c>
      <c r="AK316" s="35"/>
      <c r="AL316" s="35"/>
      <c r="AM316" s="35"/>
      <c r="AN316" s="39">
        <f t="shared" si="926"/>
        <v>6</v>
      </c>
      <c r="AO316" s="35"/>
      <c r="AP316" s="35"/>
      <c r="AQ316" s="35"/>
      <c r="AR316" s="39">
        <f t="shared" si="927"/>
        <v>6</v>
      </c>
      <c r="AS316" s="35"/>
      <c r="AT316" s="35"/>
      <c r="AU316" s="35"/>
      <c r="AV316" s="39">
        <f t="shared" si="928"/>
        <v>6</v>
      </c>
      <c r="AW316" s="35"/>
      <c r="AX316" s="35"/>
      <c r="AY316" s="35"/>
      <c r="AZ316" s="39">
        <f t="shared" si="929"/>
        <v>6</v>
      </c>
      <c r="BA316" s="35"/>
      <c r="BB316" s="35"/>
      <c r="BC316" s="35"/>
      <c r="BD316" s="39">
        <f t="shared" si="930"/>
        <v>6</v>
      </c>
      <c r="BE316" s="35"/>
      <c r="BF316" s="35"/>
      <c r="BG316" s="35"/>
      <c r="BH316" s="39">
        <f t="shared" si="931"/>
        <v>6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35"/>
      <c r="B317" s="35" t="s">
        <v>258</v>
      </c>
      <c r="C317" s="35">
        <v>16.0</v>
      </c>
      <c r="D317" s="35">
        <v>5263.0</v>
      </c>
      <c r="E317" s="35">
        <v>49.0</v>
      </c>
      <c r="F317" s="35">
        <f t="shared" si="917"/>
        <v>50</v>
      </c>
      <c r="G317" s="63">
        <f t="shared" si="918"/>
        <v>0.94</v>
      </c>
      <c r="H317" s="39">
        <v>18.0</v>
      </c>
      <c r="I317" s="39">
        <f t="shared" si="919"/>
        <v>18</v>
      </c>
      <c r="J317" s="39"/>
      <c r="K317" s="35">
        <v>2025.0</v>
      </c>
      <c r="L317" s="21">
        <v>2025.0</v>
      </c>
      <c r="M317" s="35"/>
      <c r="N317" s="35"/>
      <c r="O317" s="35"/>
      <c r="P317" s="39">
        <f t="shared" si="920"/>
        <v>18</v>
      </c>
      <c r="Q317" s="35"/>
      <c r="R317" s="35"/>
      <c r="S317" s="35"/>
      <c r="T317" s="39">
        <f t="shared" si="921"/>
        <v>18</v>
      </c>
      <c r="U317" s="35"/>
      <c r="V317" s="35"/>
      <c r="W317" s="35"/>
      <c r="X317" s="39">
        <f t="shared" si="922"/>
        <v>18</v>
      </c>
      <c r="Y317" s="35"/>
      <c r="Z317" s="35"/>
      <c r="AA317" s="35"/>
      <c r="AB317" s="39">
        <f t="shared" si="923"/>
        <v>18</v>
      </c>
      <c r="AC317" s="35"/>
      <c r="AD317" s="35"/>
      <c r="AE317" s="35"/>
      <c r="AF317" s="39">
        <f t="shared" si="924"/>
        <v>18</v>
      </c>
      <c r="AG317" s="35"/>
      <c r="AH317" s="35"/>
      <c r="AI317" s="35"/>
      <c r="AJ317" s="39">
        <f t="shared" si="925"/>
        <v>18</v>
      </c>
      <c r="AK317" s="35"/>
      <c r="AL317" s="35"/>
      <c r="AM317" s="35"/>
      <c r="AN317" s="39">
        <f t="shared" si="926"/>
        <v>18</v>
      </c>
      <c r="AO317" s="35"/>
      <c r="AP317" s="35"/>
      <c r="AQ317" s="35"/>
      <c r="AR317" s="39">
        <f t="shared" si="927"/>
        <v>18</v>
      </c>
      <c r="AS317" s="35"/>
      <c r="AT317" s="35"/>
      <c r="AU317" s="35"/>
      <c r="AV317" s="39">
        <f t="shared" si="928"/>
        <v>18</v>
      </c>
      <c r="AW317" s="35"/>
      <c r="AX317" s="41">
        <v>25.0</v>
      </c>
      <c r="AY317" s="41">
        <v>3.0</v>
      </c>
      <c r="AZ317" s="39">
        <f t="shared" si="929"/>
        <v>46</v>
      </c>
      <c r="BA317" s="35"/>
      <c r="BB317" s="35"/>
      <c r="BC317" s="35"/>
      <c r="BD317" s="39">
        <f t="shared" si="930"/>
        <v>46</v>
      </c>
      <c r="BE317" s="41">
        <v>1.0</v>
      </c>
      <c r="BF317" s="35"/>
      <c r="BG317" s="35"/>
      <c r="BH317" s="39">
        <f t="shared" si="931"/>
        <v>47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35"/>
      <c r="B318" s="110" t="s">
        <v>259</v>
      </c>
      <c r="C318" s="35">
        <v>17.0</v>
      </c>
      <c r="D318" s="35">
        <v>4876.0</v>
      </c>
      <c r="E318" s="35">
        <v>32.0</v>
      </c>
      <c r="F318" s="35">
        <f t="shared" si="917"/>
        <v>33</v>
      </c>
      <c r="G318" s="63">
        <f t="shared" si="918"/>
        <v>0.7575757576</v>
      </c>
      <c r="H318" s="39">
        <v>20.0</v>
      </c>
      <c r="I318" s="39">
        <f t="shared" si="919"/>
        <v>20</v>
      </c>
      <c r="J318" s="39"/>
      <c r="K318" s="35">
        <v>2025.0</v>
      </c>
      <c r="L318" s="21">
        <v>2025.0</v>
      </c>
      <c r="M318" s="35"/>
      <c r="N318" s="35"/>
      <c r="O318" s="35"/>
      <c r="P318" s="39">
        <f t="shared" si="920"/>
        <v>20</v>
      </c>
      <c r="Q318" s="35"/>
      <c r="R318" s="35"/>
      <c r="S318" s="35"/>
      <c r="T318" s="39">
        <f t="shared" si="921"/>
        <v>20</v>
      </c>
      <c r="U318" s="35"/>
      <c r="V318" s="35"/>
      <c r="W318" s="35"/>
      <c r="X318" s="39">
        <f t="shared" si="922"/>
        <v>20</v>
      </c>
      <c r="Y318" s="35"/>
      <c r="Z318" s="35"/>
      <c r="AA318" s="35"/>
      <c r="AB318" s="39">
        <f t="shared" si="923"/>
        <v>20</v>
      </c>
      <c r="AC318" s="35"/>
      <c r="AD318" s="35"/>
      <c r="AE318" s="35"/>
      <c r="AF318" s="39">
        <f t="shared" si="924"/>
        <v>20</v>
      </c>
      <c r="AG318" s="35"/>
      <c r="AH318" s="35"/>
      <c r="AI318" s="35"/>
      <c r="AJ318" s="39">
        <f t="shared" si="925"/>
        <v>20</v>
      </c>
      <c r="AK318" s="35"/>
      <c r="AL318" s="35"/>
      <c r="AM318" s="35"/>
      <c r="AN318" s="39">
        <f t="shared" si="926"/>
        <v>20</v>
      </c>
      <c r="AO318" s="35"/>
      <c r="AP318" s="35"/>
      <c r="AQ318" s="35"/>
      <c r="AR318" s="39">
        <f t="shared" si="927"/>
        <v>20</v>
      </c>
      <c r="AS318" s="35"/>
      <c r="AT318" s="35"/>
      <c r="AU318" s="35"/>
      <c r="AV318" s="39">
        <f t="shared" si="928"/>
        <v>20</v>
      </c>
      <c r="AW318" s="35"/>
      <c r="AX318" s="35"/>
      <c r="AY318" s="35"/>
      <c r="AZ318" s="39">
        <f t="shared" si="929"/>
        <v>20</v>
      </c>
      <c r="BA318" s="41">
        <v>1.0</v>
      </c>
      <c r="BB318" s="41">
        <v>4.0</v>
      </c>
      <c r="BC318" s="35"/>
      <c r="BD318" s="39">
        <f t="shared" si="930"/>
        <v>25</v>
      </c>
      <c r="BE318" s="35"/>
      <c r="BF318" s="35"/>
      <c r="BG318" s="35"/>
      <c r="BH318" s="39">
        <f t="shared" si="931"/>
        <v>25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24"/>
      <c r="B319" s="21"/>
      <c r="C319" s="21"/>
      <c r="D319" s="21"/>
      <c r="E319" s="21"/>
      <c r="F319" s="35"/>
      <c r="G319" s="21"/>
      <c r="H319" s="25"/>
      <c r="I319" s="25"/>
      <c r="J319" s="25"/>
      <c r="K319" s="21"/>
      <c r="L319" s="21"/>
      <c r="M319" s="21">
        <f t="shared" ref="M319:BH319" si="932">SUM(M311:M318)</f>
        <v>0</v>
      </c>
      <c r="N319" s="21">
        <f t="shared" si="932"/>
        <v>0</v>
      </c>
      <c r="O319" s="21">
        <f t="shared" si="932"/>
        <v>0</v>
      </c>
      <c r="P319" s="25">
        <f t="shared" si="932"/>
        <v>72</v>
      </c>
      <c r="Q319" s="21">
        <f t="shared" si="932"/>
        <v>0</v>
      </c>
      <c r="R319" s="21">
        <f t="shared" si="932"/>
        <v>0</v>
      </c>
      <c r="S319" s="21">
        <f t="shared" si="932"/>
        <v>0</v>
      </c>
      <c r="T319" s="21">
        <f t="shared" si="932"/>
        <v>72</v>
      </c>
      <c r="U319" s="21">
        <f t="shared" si="932"/>
        <v>0</v>
      </c>
      <c r="V319" s="21">
        <f t="shared" si="932"/>
        <v>0</v>
      </c>
      <c r="W319" s="21">
        <f t="shared" si="932"/>
        <v>0</v>
      </c>
      <c r="X319" s="21">
        <f t="shared" si="932"/>
        <v>72</v>
      </c>
      <c r="Y319" s="21">
        <f t="shared" si="932"/>
        <v>0</v>
      </c>
      <c r="Z319" s="21">
        <f t="shared" si="932"/>
        <v>0</v>
      </c>
      <c r="AA319" s="21">
        <f t="shared" si="932"/>
        <v>0</v>
      </c>
      <c r="AB319" s="21">
        <f t="shared" si="932"/>
        <v>72</v>
      </c>
      <c r="AC319" s="21">
        <f t="shared" si="932"/>
        <v>0</v>
      </c>
      <c r="AD319" s="21">
        <f t="shared" si="932"/>
        <v>0</v>
      </c>
      <c r="AE319" s="21">
        <f t="shared" si="932"/>
        <v>0</v>
      </c>
      <c r="AF319" s="21">
        <f t="shared" si="932"/>
        <v>72</v>
      </c>
      <c r="AG319" s="21">
        <f t="shared" si="932"/>
        <v>0</v>
      </c>
      <c r="AH319" s="21">
        <f t="shared" si="932"/>
        <v>0</v>
      </c>
      <c r="AI319" s="21">
        <f t="shared" si="932"/>
        <v>0</v>
      </c>
      <c r="AJ319" s="21">
        <f t="shared" si="932"/>
        <v>72</v>
      </c>
      <c r="AK319" s="21">
        <f t="shared" si="932"/>
        <v>0</v>
      </c>
      <c r="AL319" s="21">
        <f t="shared" si="932"/>
        <v>0</v>
      </c>
      <c r="AM319" s="21">
        <f t="shared" si="932"/>
        <v>0</v>
      </c>
      <c r="AN319" s="21">
        <f t="shared" si="932"/>
        <v>72</v>
      </c>
      <c r="AO319" s="21">
        <f t="shared" si="932"/>
        <v>0</v>
      </c>
      <c r="AP319" s="21">
        <f t="shared" si="932"/>
        <v>0</v>
      </c>
      <c r="AQ319" s="21">
        <f t="shared" si="932"/>
        <v>0</v>
      </c>
      <c r="AR319" s="21">
        <f t="shared" si="932"/>
        <v>72</v>
      </c>
      <c r="AS319" s="21">
        <f t="shared" si="932"/>
        <v>0</v>
      </c>
      <c r="AT319" s="21">
        <f t="shared" si="932"/>
        <v>0</v>
      </c>
      <c r="AU319" s="21">
        <f t="shared" si="932"/>
        <v>0</v>
      </c>
      <c r="AV319" s="21">
        <f t="shared" si="932"/>
        <v>72</v>
      </c>
      <c r="AW319" s="21">
        <f t="shared" si="932"/>
        <v>0</v>
      </c>
      <c r="AX319" s="21">
        <f t="shared" si="932"/>
        <v>25</v>
      </c>
      <c r="AY319" s="21">
        <f t="shared" si="932"/>
        <v>3</v>
      </c>
      <c r="AZ319" s="21">
        <f t="shared" si="932"/>
        <v>100</v>
      </c>
      <c r="BA319" s="21">
        <f t="shared" si="932"/>
        <v>1</v>
      </c>
      <c r="BB319" s="21">
        <f t="shared" si="932"/>
        <v>4</v>
      </c>
      <c r="BC319" s="21">
        <f t="shared" si="932"/>
        <v>0</v>
      </c>
      <c r="BD319" s="21">
        <f t="shared" si="932"/>
        <v>105</v>
      </c>
      <c r="BE319" s="21">
        <f t="shared" si="932"/>
        <v>1</v>
      </c>
      <c r="BF319" s="21">
        <f t="shared" si="932"/>
        <v>0</v>
      </c>
      <c r="BG319" s="21">
        <f t="shared" si="932"/>
        <v>0</v>
      </c>
      <c r="BH319" s="21">
        <f t="shared" si="932"/>
        <v>106</v>
      </c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21" t="s">
        <v>35</v>
      </c>
      <c r="C320" s="21">
        <f>COUNT(C312:C318)</f>
        <v>7</v>
      </c>
      <c r="D320" s="21"/>
      <c r="E320" s="21">
        <f>SUM(E311:E318)</f>
        <v>206</v>
      </c>
      <c r="F320" s="21">
        <f>SUM(E311:E318)+1</f>
        <v>207</v>
      </c>
      <c r="G320" s="22">
        <f>$BH319/F320</f>
        <v>0.5120772947</v>
      </c>
      <c r="H320" s="25">
        <f t="shared" ref="H320:J320" si="933">SUM(H311:H318)</f>
        <v>72</v>
      </c>
      <c r="I320" s="25">
        <f t="shared" si="933"/>
        <v>72</v>
      </c>
      <c r="J320" s="25">
        <f t="shared" si="933"/>
        <v>0</v>
      </c>
      <c r="K320" s="21"/>
      <c r="L320" s="21"/>
      <c r="M320" s="21"/>
      <c r="N320" s="21"/>
      <c r="O320" s="21"/>
      <c r="P320" s="22">
        <f>P319/F320</f>
        <v>0.347826087</v>
      </c>
      <c r="Q320" s="21">
        <f t="shared" ref="Q320:S320" si="934">M319+Q319</f>
        <v>0</v>
      </c>
      <c r="R320" s="21">
        <f t="shared" si="934"/>
        <v>0</v>
      </c>
      <c r="S320" s="21">
        <f t="shared" si="934"/>
        <v>0</v>
      </c>
      <c r="T320" s="22">
        <f>T319/F320</f>
        <v>0.347826087</v>
      </c>
      <c r="U320" s="21">
        <f t="shared" ref="U320:W320" si="935">Q320+U319</f>
        <v>0</v>
      </c>
      <c r="V320" s="21">
        <f t="shared" si="935"/>
        <v>0</v>
      </c>
      <c r="W320" s="21">
        <f t="shared" si="935"/>
        <v>0</v>
      </c>
      <c r="X320" s="22">
        <f>X319/F320</f>
        <v>0.347826087</v>
      </c>
      <c r="Y320" s="21">
        <f t="shared" ref="Y320:AA320" si="936">U320+Y319</f>
        <v>0</v>
      </c>
      <c r="Z320" s="21">
        <f t="shared" si="936"/>
        <v>0</v>
      </c>
      <c r="AA320" s="21">
        <f t="shared" si="936"/>
        <v>0</v>
      </c>
      <c r="AB320" s="22">
        <f>AB319/F320</f>
        <v>0.347826087</v>
      </c>
      <c r="AC320" s="21">
        <f t="shared" ref="AC320:AE320" si="937">Y320+AC319</f>
        <v>0</v>
      </c>
      <c r="AD320" s="21">
        <f t="shared" si="937"/>
        <v>0</v>
      </c>
      <c r="AE320" s="21">
        <f t="shared" si="937"/>
        <v>0</v>
      </c>
      <c r="AF320" s="22">
        <f>AF319/F320</f>
        <v>0.347826087</v>
      </c>
      <c r="AG320" s="21">
        <f t="shared" ref="AG320:AI320" si="938">AC320+AG319</f>
        <v>0</v>
      </c>
      <c r="AH320" s="21">
        <f t="shared" si="938"/>
        <v>0</v>
      </c>
      <c r="AI320" s="21">
        <f t="shared" si="938"/>
        <v>0</v>
      </c>
      <c r="AJ320" s="22">
        <f>AJ319/F320</f>
        <v>0.347826087</v>
      </c>
      <c r="AK320" s="21">
        <f t="shared" ref="AK320:AM320" si="939">AG320+AK319</f>
        <v>0</v>
      </c>
      <c r="AL320" s="21">
        <f t="shared" si="939"/>
        <v>0</v>
      </c>
      <c r="AM320" s="21">
        <f t="shared" si="939"/>
        <v>0</v>
      </c>
      <c r="AN320" s="22">
        <f>AN319/F320</f>
        <v>0.347826087</v>
      </c>
      <c r="AO320" s="21">
        <f t="shared" ref="AO320:AQ320" si="940">AK320+AO319</f>
        <v>0</v>
      </c>
      <c r="AP320" s="21">
        <f t="shared" si="940"/>
        <v>0</v>
      </c>
      <c r="AQ320" s="21">
        <f t="shared" si="940"/>
        <v>0</v>
      </c>
      <c r="AR320" s="22">
        <f>AR319/F320</f>
        <v>0.347826087</v>
      </c>
      <c r="AS320" s="21">
        <f t="shared" ref="AS320:AU320" si="941">AO320+AS319</f>
        <v>0</v>
      </c>
      <c r="AT320" s="21">
        <f t="shared" si="941"/>
        <v>0</v>
      </c>
      <c r="AU320" s="21">
        <f t="shared" si="941"/>
        <v>0</v>
      </c>
      <c r="AV320" s="22">
        <f>AV319/F320</f>
        <v>0.347826087</v>
      </c>
      <c r="AW320" s="21">
        <f t="shared" ref="AW320:AY320" si="942">AS320+AW319</f>
        <v>0</v>
      </c>
      <c r="AX320" s="21">
        <f t="shared" si="942"/>
        <v>25</v>
      </c>
      <c r="AY320" s="21">
        <f t="shared" si="942"/>
        <v>3</v>
      </c>
      <c r="AZ320" s="22">
        <f>AZ319/F320</f>
        <v>0.4830917874</v>
      </c>
      <c r="BA320" s="21">
        <f t="shared" ref="BA320:BC320" si="943">AW320+BA319</f>
        <v>1</v>
      </c>
      <c r="BB320" s="21">
        <f t="shared" si="943"/>
        <v>29</v>
      </c>
      <c r="BC320" s="21">
        <f t="shared" si="943"/>
        <v>3</v>
      </c>
      <c r="BD320" s="22">
        <f>BD319/F320</f>
        <v>0.5072463768</v>
      </c>
      <c r="BE320" s="21">
        <f t="shared" ref="BE320:BG320" si="944">BA320+BE319</f>
        <v>2</v>
      </c>
      <c r="BF320" s="21">
        <f t="shared" si="944"/>
        <v>29</v>
      </c>
      <c r="BG320" s="21">
        <f t="shared" si="944"/>
        <v>3</v>
      </c>
      <c r="BH320" s="22">
        <f>BH319/F320</f>
        <v>0.5120772947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31"/>
      <c r="I321" s="31"/>
      <c r="J321" s="3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33" t="s">
        <v>260</v>
      </c>
      <c r="B322" s="21"/>
      <c r="C322" s="21"/>
      <c r="D322" s="21"/>
      <c r="E322" s="21"/>
      <c r="F322" s="21"/>
      <c r="G322" s="22"/>
      <c r="H322" s="25"/>
      <c r="I322" s="25"/>
      <c r="J322" s="25"/>
      <c r="K322" s="21">
        <v>2027.0</v>
      </c>
      <c r="L322" s="21">
        <v>2027.0</v>
      </c>
      <c r="M322" s="21"/>
      <c r="N322" s="21"/>
      <c r="O322" s="21"/>
      <c r="P322" s="25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135" t="s">
        <v>261</v>
      </c>
      <c r="C323" s="21">
        <v>4.0</v>
      </c>
      <c r="D323" s="21">
        <v>3965.0</v>
      </c>
      <c r="E323" s="21">
        <v>24.0</v>
      </c>
      <c r="F323" s="21">
        <f t="shared" ref="F323:F328" si="945">E323+1</f>
        <v>25</v>
      </c>
      <c r="G323" s="63">
        <f t="shared" ref="G323:G328" si="946">$BH323/F323</f>
        <v>0.92</v>
      </c>
      <c r="H323" s="25">
        <v>17.0</v>
      </c>
      <c r="I323" s="25">
        <f t="shared" ref="I323:I328" si="947">+H323+J323</f>
        <v>18</v>
      </c>
      <c r="J323" s="25">
        <v>1.0</v>
      </c>
      <c r="K323" s="21">
        <v>2027.0</v>
      </c>
      <c r="L323" s="21">
        <v>2025.0</v>
      </c>
      <c r="M323" s="21"/>
      <c r="N323" s="21"/>
      <c r="O323" s="21"/>
      <c r="P323" s="25">
        <f t="shared" ref="P323:P328" si="948">+H323+SUM(M323:O323)</f>
        <v>17</v>
      </c>
      <c r="Q323" s="21"/>
      <c r="R323" s="21">
        <v>5.0</v>
      </c>
      <c r="S323" s="21">
        <v>1.0</v>
      </c>
      <c r="T323" s="25">
        <f t="shared" ref="T323:T328" si="949">SUM(P323:S323)</f>
        <v>23</v>
      </c>
      <c r="U323" s="21"/>
      <c r="V323" s="21"/>
      <c r="W323" s="21"/>
      <c r="X323" s="25">
        <f t="shared" ref="X323:X328" si="950">SUM(T323:W323)</f>
        <v>23</v>
      </c>
      <c r="Y323" s="21"/>
      <c r="Z323" s="21"/>
      <c r="AA323" s="21"/>
      <c r="AB323" s="25">
        <f t="shared" ref="AB323:AB328" si="951">SUM(X323:AA323)</f>
        <v>23</v>
      </c>
      <c r="AC323" s="21"/>
      <c r="AD323" s="21"/>
      <c r="AE323" s="21"/>
      <c r="AF323" s="25">
        <f t="shared" ref="AF323:AF328" si="952">SUM(AB323:AE323)</f>
        <v>23</v>
      </c>
      <c r="AG323" s="21"/>
      <c r="AH323" s="21"/>
      <c r="AI323" s="21"/>
      <c r="AJ323" s="25">
        <f t="shared" ref="AJ323:AJ328" si="953">SUM(AF323:AI323)</f>
        <v>23</v>
      </c>
      <c r="AK323" s="21"/>
      <c r="AL323" s="21"/>
      <c r="AM323" s="21"/>
      <c r="AN323" s="25">
        <f t="shared" ref="AN323:AN328" si="954">SUM(AJ323:AM323)</f>
        <v>23</v>
      </c>
      <c r="AO323" s="21"/>
      <c r="AP323" s="21"/>
      <c r="AQ323" s="21"/>
      <c r="AR323" s="25">
        <f t="shared" ref="AR323:AR328" si="955">SUM(AN323:AQ323)</f>
        <v>23</v>
      </c>
      <c r="AS323" s="21"/>
      <c r="AT323" s="21"/>
      <c r="AU323" s="21"/>
      <c r="AV323" s="25">
        <f t="shared" ref="AV323:AV328" si="956">SUM(AR323:AU323)</f>
        <v>23</v>
      </c>
      <c r="AW323" s="21"/>
      <c r="AX323" s="21"/>
      <c r="AY323" s="21"/>
      <c r="AZ323" s="25">
        <f t="shared" ref="AZ323:AZ328" si="957">SUM(AV323:AY323)</f>
        <v>23</v>
      </c>
      <c r="BA323" s="21"/>
      <c r="BB323" s="21"/>
      <c r="BC323" s="21"/>
      <c r="BD323" s="25">
        <f t="shared" ref="BD323:BD328" si="958">SUM(AZ323:BC323)</f>
        <v>23</v>
      </c>
      <c r="BE323" s="21"/>
      <c r="BF323" s="21"/>
      <c r="BG323" s="21"/>
      <c r="BH323" s="25">
        <f t="shared" ref="BH323:BH328" si="959">SUM(BD323:BG323)</f>
        <v>23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110" t="s">
        <v>262</v>
      </c>
      <c r="C324" s="35">
        <v>6.0</v>
      </c>
      <c r="D324" s="35">
        <v>661.0</v>
      </c>
      <c r="E324" s="35">
        <v>19.0</v>
      </c>
      <c r="F324" s="21">
        <f t="shared" si="945"/>
        <v>20</v>
      </c>
      <c r="G324" s="63">
        <f t="shared" si="946"/>
        <v>0.6</v>
      </c>
      <c r="H324" s="39">
        <v>12.0</v>
      </c>
      <c r="I324" s="39">
        <f t="shared" si="947"/>
        <v>12</v>
      </c>
      <c r="J324" s="39"/>
      <c r="K324" s="35">
        <v>2025.0</v>
      </c>
      <c r="L324" s="21">
        <v>2025.0</v>
      </c>
      <c r="M324" s="35"/>
      <c r="N324" s="21"/>
      <c r="O324" s="35"/>
      <c r="P324" s="39">
        <f t="shared" si="948"/>
        <v>12</v>
      </c>
      <c r="Q324" s="35"/>
      <c r="R324" s="35"/>
      <c r="S324" s="35"/>
      <c r="T324" s="39">
        <f t="shared" si="949"/>
        <v>12</v>
      </c>
      <c r="U324" s="35"/>
      <c r="V324" s="35"/>
      <c r="W324" s="35"/>
      <c r="X324" s="39">
        <f t="shared" si="950"/>
        <v>12</v>
      </c>
      <c r="Y324" s="35"/>
      <c r="Z324" s="35"/>
      <c r="AA324" s="35"/>
      <c r="AB324" s="39">
        <f t="shared" si="951"/>
        <v>12</v>
      </c>
      <c r="AC324" s="35"/>
      <c r="AD324" s="35"/>
      <c r="AE324" s="35"/>
      <c r="AF324" s="39">
        <f t="shared" si="952"/>
        <v>12</v>
      </c>
      <c r="AG324" s="35"/>
      <c r="AH324" s="35"/>
      <c r="AI324" s="35"/>
      <c r="AJ324" s="39">
        <f t="shared" si="953"/>
        <v>12</v>
      </c>
      <c r="AK324" s="35"/>
      <c r="AL324" s="35"/>
      <c r="AM324" s="35"/>
      <c r="AN324" s="39">
        <f t="shared" si="954"/>
        <v>12</v>
      </c>
      <c r="AO324" s="35"/>
      <c r="AP324" s="35"/>
      <c r="AQ324" s="35"/>
      <c r="AR324" s="39">
        <f t="shared" si="955"/>
        <v>12</v>
      </c>
      <c r="AS324" s="35"/>
      <c r="AT324" s="35"/>
      <c r="AU324" s="35"/>
      <c r="AV324" s="39">
        <f t="shared" si="956"/>
        <v>12</v>
      </c>
      <c r="AW324" s="35"/>
      <c r="AX324" s="35"/>
      <c r="AY324" s="35"/>
      <c r="AZ324" s="39">
        <f t="shared" si="957"/>
        <v>12</v>
      </c>
      <c r="BA324" s="35"/>
      <c r="BB324" s="35"/>
      <c r="BC324" s="35"/>
      <c r="BD324" s="39">
        <f t="shared" si="958"/>
        <v>12</v>
      </c>
      <c r="BE324" s="35"/>
      <c r="BF324" s="35"/>
      <c r="BG324" s="35"/>
      <c r="BH324" s="39">
        <f t="shared" si="959"/>
        <v>12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263</v>
      </c>
      <c r="C325" s="35">
        <v>8.0</v>
      </c>
      <c r="D325" s="35">
        <v>1643.0</v>
      </c>
      <c r="E325" s="35">
        <v>18.0</v>
      </c>
      <c r="F325" s="21">
        <f t="shared" si="945"/>
        <v>19</v>
      </c>
      <c r="G325" s="63">
        <f t="shared" si="946"/>
        <v>0.9473684211</v>
      </c>
      <c r="H325" s="39">
        <v>17.0</v>
      </c>
      <c r="I325" s="39">
        <f t="shared" si="947"/>
        <v>17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17</v>
      </c>
      <c r="Q325" s="35"/>
      <c r="R325" s="35">
        <v>1.0</v>
      </c>
      <c r="S325" s="35"/>
      <c r="T325" s="39">
        <f t="shared" si="949"/>
        <v>18</v>
      </c>
      <c r="U325" s="35"/>
      <c r="V325" s="35"/>
      <c r="W325" s="35"/>
      <c r="X325" s="39">
        <f t="shared" si="950"/>
        <v>18</v>
      </c>
      <c r="Y325" s="35"/>
      <c r="Z325" s="35"/>
      <c r="AA325" s="35"/>
      <c r="AB325" s="39">
        <f t="shared" si="951"/>
        <v>18</v>
      </c>
      <c r="AC325" s="35"/>
      <c r="AD325" s="35"/>
      <c r="AE325" s="35"/>
      <c r="AF325" s="39">
        <f t="shared" si="952"/>
        <v>18</v>
      </c>
      <c r="AG325" s="35"/>
      <c r="AH325" s="35"/>
      <c r="AI325" s="35"/>
      <c r="AJ325" s="39">
        <f t="shared" si="953"/>
        <v>18</v>
      </c>
      <c r="AK325" s="35"/>
      <c r="AL325" s="35"/>
      <c r="AM325" s="35"/>
      <c r="AN325" s="39">
        <f t="shared" si="954"/>
        <v>18</v>
      </c>
      <c r="AO325" s="35"/>
      <c r="AP325" s="35"/>
      <c r="AQ325" s="35"/>
      <c r="AR325" s="39">
        <f t="shared" si="955"/>
        <v>18</v>
      </c>
      <c r="AS325" s="35"/>
      <c r="AT325" s="35"/>
      <c r="AU325" s="35"/>
      <c r="AV325" s="39">
        <f t="shared" si="956"/>
        <v>18</v>
      </c>
      <c r="AW325" s="35"/>
      <c r="AX325" s="35"/>
      <c r="AY325" s="35"/>
      <c r="AZ325" s="39">
        <f t="shared" si="957"/>
        <v>18</v>
      </c>
      <c r="BA325" s="35"/>
      <c r="BB325" s="35"/>
      <c r="BC325" s="35"/>
      <c r="BD325" s="39">
        <f t="shared" si="958"/>
        <v>18</v>
      </c>
      <c r="BE325" s="35"/>
      <c r="BF325" s="35"/>
      <c r="BG325" s="35"/>
      <c r="BH325" s="39">
        <f t="shared" si="959"/>
        <v>18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36" t="s">
        <v>264</v>
      </c>
      <c r="C326" s="36">
        <v>9.0</v>
      </c>
      <c r="D326" s="36">
        <v>3232.0</v>
      </c>
      <c r="E326" s="36">
        <v>26.0</v>
      </c>
      <c r="F326" s="21">
        <f t="shared" si="945"/>
        <v>27</v>
      </c>
      <c r="G326" s="63">
        <f t="shared" si="946"/>
        <v>0.962962963</v>
      </c>
      <c r="H326" s="39">
        <v>8.0</v>
      </c>
      <c r="I326" s="39">
        <f t="shared" si="947"/>
        <v>8</v>
      </c>
      <c r="J326" s="39"/>
      <c r="K326" s="35">
        <v>2027.0</v>
      </c>
      <c r="L326" s="21">
        <v>2025.0</v>
      </c>
      <c r="M326" s="35"/>
      <c r="N326" s="35"/>
      <c r="O326" s="35"/>
      <c r="P326" s="39">
        <f t="shared" si="948"/>
        <v>8</v>
      </c>
      <c r="Q326" s="35"/>
      <c r="R326" s="35">
        <v>17.0</v>
      </c>
      <c r="S326" s="35"/>
      <c r="T326" s="39">
        <f t="shared" si="949"/>
        <v>25</v>
      </c>
      <c r="U326" s="35"/>
      <c r="V326" s="35"/>
      <c r="W326" s="35"/>
      <c r="X326" s="39">
        <f t="shared" si="950"/>
        <v>25</v>
      </c>
      <c r="Y326" s="35"/>
      <c r="Z326" s="35"/>
      <c r="AA326" s="35"/>
      <c r="AB326" s="39">
        <f t="shared" si="951"/>
        <v>25</v>
      </c>
      <c r="AC326" s="35"/>
      <c r="AD326" s="35"/>
      <c r="AE326" s="35"/>
      <c r="AF326" s="39">
        <f t="shared" si="952"/>
        <v>25</v>
      </c>
      <c r="AG326" s="35">
        <v>1.0</v>
      </c>
      <c r="AH326" s="35"/>
      <c r="AI326" s="35"/>
      <c r="AJ326" s="39">
        <f t="shared" si="953"/>
        <v>26</v>
      </c>
      <c r="AK326" s="35"/>
      <c r="AL326" s="35"/>
      <c r="AM326" s="35"/>
      <c r="AN326" s="39">
        <f t="shared" si="954"/>
        <v>26</v>
      </c>
      <c r="AO326" s="35"/>
      <c r="AP326" s="35"/>
      <c r="AQ326" s="35"/>
      <c r="AR326" s="39">
        <f t="shared" si="955"/>
        <v>26</v>
      </c>
      <c r="AS326" s="35"/>
      <c r="AT326" s="35"/>
      <c r="AU326" s="35"/>
      <c r="AV326" s="39">
        <f t="shared" si="956"/>
        <v>26</v>
      </c>
      <c r="AW326" s="35"/>
      <c r="AX326" s="35"/>
      <c r="AY326" s="35"/>
      <c r="AZ326" s="39">
        <f t="shared" si="957"/>
        <v>26</v>
      </c>
      <c r="BA326" s="35"/>
      <c r="BB326" s="35"/>
      <c r="BC326" s="35"/>
      <c r="BD326" s="39">
        <f t="shared" si="958"/>
        <v>26</v>
      </c>
      <c r="BE326" s="35"/>
      <c r="BF326" s="35"/>
      <c r="BG326" s="35"/>
      <c r="BH326" s="39">
        <f t="shared" si="959"/>
        <v>26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35" t="s">
        <v>265</v>
      </c>
      <c r="C327" s="35">
        <v>12.0</v>
      </c>
      <c r="D327" s="35">
        <v>584.0</v>
      </c>
      <c r="E327" s="35">
        <v>19.0</v>
      </c>
      <c r="F327" s="21">
        <f t="shared" si="945"/>
        <v>20</v>
      </c>
      <c r="G327" s="63">
        <f t="shared" si="946"/>
        <v>0.3</v>
      </c>
      <c r="H327" s="39">
        <v>6.0</v>
      </c>
      <c r="I327" s="39">
        <f t="shared" si="947"/>
        <v>6</v>
      </c>
      <c r="J327" s="39"/>
      <c r="K327" s="35">
        <v>2027.0</v>
      </c>
      <c r="L327" s="21">
        <v>2025.0</v>
      </c>
      <c r="M327" s="35"/>
      <c r="N327" s="35"/>
      <c r="O327" s="35"/>
      <c r="P327" s="39">
        <f t="shared" si="948"/>
        <v>6</v>
      </c>
      <c r="Q327" s="35"/>
      <c r="R327" s="35"/>
      <c r="S327" s="35"/>
      <c r="T327" s="39">
        <f t="shared" si="949"/>
        <v>6</v>
      </c>
      <c r="U327" s="35"/>
      <c r="V327" s="35"/>
      <c r="W327" s="35"/>
      <c r="X327" s="39">
        <f t="shared" si="950"/>
        <v>6</v>
      </c>
      <c r="Y327" s="35"/>
      <c r="Z327" s="35"/>
      <c r="AA327" s="35"/>
      <c r="AB327" s="39">
        <f t="shared" si="951"/>
        <v>6</v>
      </c>
      <c r="AC327" s="35"/>
      <c r="AD327" s="35"/>
      <c r="AE327" s="35"/>
      <c r="AF327" s="39">
        <f t="shared" si="952"/>
        <v>6</v>
      </c>
      <c r="AG327" s="35"/>
      <c r="AH327" s="35"/>
      <c r="AI327" s="35"/>
      <c r="AJ327" s="39">
        <f t="shared" si="953"/>
        <v>6</v>
      </c>
      <c r="AK327" s="35"/>
      <c r="AL327" s="35"/>
      <c r="AM327" s="35"/>
      <c r="AN327" s="39">
        <f t="shared" si="954"/>
        <v>6</v>
      </c>
      <c r="AO327" s="35"/>
      <c r="AP327" s="35"/>
      <c r="AQ327" s="35"/>
      <c r="AR327" s="39">
        <f t="shared" si="955"/>
        <v>6</v>
      </c>
      <c r="AS327" s="35"/>
      <c r="AT327" s="35"/>
      <c r="AU327" s="35"/>
      <c r="AV327" s="39">
        <f t="shared" si="956"/>
        <v>6</v>
      </c>
      <c r="AW327" s="35"/>
      <c r="AX327" s="35"/>
      <c r="AY327" s="35"/>
      <c r="AZ327" s="39">
        <f t="shared" si="957"/>
        <v>6</v>
      </c>
      <c r="BA327" s="35"/>
      <c r="BB327" s="35"/>
      <c r="BC327" s="35"/>
      <c r="BD327" s="39">
        <f t="shared" si="958"/>
        <v>6</v>
      </c>
      <c r="BE327" s="35"/>
      <c r="BF327" s="35"/>
      <c r="BG327" s="35"/>
      <c r="BH327" s="39">
        <f t="shared" si="959"/>
        <v>6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4" t="s">
        <v>266</v>
      </c>
      <c r="C328" s="24">
        <v>23.0</v>
      </c>
      <c r="D328" s="24"/>
      <c r="E328" s="24">
        <v>20.0</v>
      </c>
      <c r="F328" s="21">
        <f t="shared" si="945"/>
        <v>21</v>
      </c>
      <c r="G328" s="22">
        <f t="shared" si="946"/>
        <v>0.9047619048</v>
      </c>
      <c r="H328" s="23">
        <v>13.0</v>
      </c>
      <c r="I328" s="25">
        <f t="shared" si="947"/>
        <v>13</v>
      </c>
      <c r="J328" s="23"/>
      <c r="K328" s="35">
        <v>2027.0</v>
      </c>
      <c r="L328" s="21">
        <v>2025.0</v>
      </c>
      <c r="M328" s="24"/>
      <c r="N328" s="24"/>
      <c r="O328" s="24"/>
      <c r="P328" s="25">
        <f t="shared" si="948"/>
        <v>13</v>
      </c>
      <c r="Q328" s="24"/>
      <c r="R328" s="24"/>
      <c r="S328" s="24"/>
      <c r="T328" s="25">
        <f t="shared" si="949"/>
        <v>13</v>
      </c>
      <c r="U328" s="24"/>
      <c r="V328" s="24"/>
      <c r="W328" s="24"/>
      <c r="X328" s="25">
        <f t="shared" si="950"/>
        <v>13</v>
      </c>
      <c r="Y328" s="24"/>
      <c r="Z328" s="24"/>
      <c r="AA328" s="24"/>
      <c r="AB328" s="25">
        <f t="shared" si="951"/>
        <v>13</v>
      </c>
      <c r="AC328" s="24"/>
      <c r="AD328" s="24"/>
      <c r="AE328" s="24"/>
      <c r="AF328" s="25">
        <f t="shared" si="952"/>
        <v>13</v>
      </c>
      <c r="AG328" s="24"/>
      <c r="AH328" s="24">
        <v>6.0</v>
      </c>
      <c r="AI328" s="24"/>
      <c r="AJ328" s="25">
        <f t="shared" si="953"/>
        <v>19</v>
      </c>
      <c r="AK328" s="24"/>
      <c r="AL328" s="24"/>
      <c r="AM328" s="24"/>
      <c r="AN328" s="25">
        <f t="shared" si="954"/>
        <v>19</v>
      </c>
      <c r="AO328" s="24"/>
      <c r="AP328" s="24"/>
      <c r="AQ328" s="24"/>
      <c r="AR328" s="25">
        <f t="shared" si="955"/>
        <v>19</v>
      </c>
      <c r="AS328" s="24"/>
      <c r="AT328" s="24"/>
      <c r="AU328" s="24"/>
      <c r="AV328" s="25">
        <f t="shared" si="956"/>
        <v>19</v>
      </c>
      <c r="AW328" s="24"/>
      <c r="AX328" s="24"/>
      <c r="AY328" s="24"/>
      <c r="AZ328" s="25">
        <f t="shared" si="957"/>
        <v>19</v>
      </c>
      <c r="BA328" s="24"/>
      <c r="BB328" s="24"/>
      <c r="BC328" s="24"/>
      <c r="BD328" s="25">
        <f t="shared" si="958"/>
        <v>19</v>
      </c>
      <c r="BE328" s="24"/>
      <c r="BF328" s="24"/>
      <c r="BG328" s="24"/>
      <c r="BH328" s="25">
        <f t="shared" si="959"/>
        <v>19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 ht="15.75" customHeight="1">
      <c r="A329" s="24"/>
      <c r="B329" s="24"/>
      <c r="C329" s="24"/>
      <c r="D329" s="24"/>
      <c r="E329" s="24"/>
      <c r="F329" s="21"/>
      <c r="G329" s="24"/>
      <c r="H329" s="23"/>
      <c r="I329" s="23"/>
      <c r="J329" s="23"/>
      <c r="K329" s="24"/>
      <c r="L329" s="24"/>
      <c r="M329" s="24">
        <f t="shared" ref="M329:BH329" si="960">SUM(M322:M328)</f>
        <v>0</v>
      </c>
      <c r="N329" s="24">
        <f t="shared" si="960"/>
        <v>0</v>
      </c>
      <c r="O329" s="24">
        <f t="shared" si="960"/>
        <v>0</v>
      </c>
      <c r="P329" s="23">
        <f t="shared" si="960"/>
        <v>73</v>
      </c>
      <c r="Q329" s="24">
        <f t="shared" si="960"/>
        <v>0</v>
      </c>
      <c r="R329" s="24">
        <f t="shared" si="960"/>
        <v>23</v>
      </c>
      <c r="S329" s="24">
        <f t="shared" si="960"/>
        <v>1</v>
      </c>
      <c r="T329" s="24">
        <f t="shared" si="960"/>
        <v>97</v>
      </c>
      <c r="U329" s="24">
        <f t="shared" si="960"/>
        <v>0</v>
      </c>
      <c r="V329" s="24">
        <f t="shared" si="960"/>
        <v>0</v>
      </c>
      <c r="W329" s="24">
        <f t="shared" si="960"/>
        <v>0</v>
      </c>
      <c r="X329" s="24">
        <f t="shared" si="960"/>
        <v>97</v>
      </c>
      <c r="Y329" s="24">
        <f t="shared" si="960"/>
        <v>0</v>
      </c>
      <c r="Z329" s="24">
        <f t="shared" si="960"/>
        <v>0</v>
      </c>
      <c r="AA329" s="24">
        <f t="shared" si="960"/>
        <v>0</v>
      </c>
      <c r="AB329" s="24">
        <f t="shared" si="960"/>
        <v>97</v>
      </c>
      <c r="AC329" s="24">
        <f t="shared" si="960"/>
        <v>0</v>
      </c>
      <c r="AD329" s="24">
        <f t="shared" si="960"/>
        <v>0</v>
      </c>
      <c r="AE329" s="24">
        <f t="shared" si="960"/>
        <v>0</v>
      </c>
      <c r="AF329" s="24">
        <f t="shared" si="960"/>
        <v>97</v>
      </c>
      <c r="AG329" s="24">
        <f t="shared" si="960"/>
        <v>1</v>
      </c>
      <c r="AH329" s="24">
        <f t="shared" si="960"/>
        <v>6</v>
      </c>
      <c r="AI329" s="24">
        <f t="shared" si="960"/>
        <v>0</v>
      </c>
      <c r="AJ329" s="24">
        <f t="shared" si="960"/>
        <v>104</v>
      </c>
      <c r="AK329" s="24">
        <f t="shared" si="960"/>
        <v>0</v>
      </c>
      <c r="AL329" s="24">
        <f t="shared" si="960"/>
        <v>0</v>
      </c>
      <c r="AM329" s="24">
        <f t="shared" si="960"/>
        <v>0</v>
      </c>
      <c r="AN329" s="24">
        <f t="shared" si="960"/>
        <v>104</v>
      </c>
      <c r="AO329" s="24">
        <f t="shared" si="960"/>
        <v>0</v>
      </c>
      <c r="AP329" s="24">
        <f t="shared" si="960"/>
        <v>0</v>
      </c>
      <c r="AQ329" s="24">
        <f t="shared" si="960"/>
        <v>0</v>
      </c>
      <c r="AR329" s="24">
        <f t="shared" si="960"/>
        <v>104</v>
      </c>
      <c r="AS329" s="24">
        <f t="shared" si="960"/>
        <v>0</v>
      </c>
      <c r="AT329" s="24">
        <f t="shared" si="960"/>
        <v>0</v>
      </c>
      <c r="AU329" s="24">
        <f t="shared" si="960"/>
        <v>0</v>
      </c>
      <c r="AV329" s="24">
        <f t="shared" si="960"/>
        <v>104</v>
      </c>
      <c r="AW329" s="24">
        <f t="shared" si="960"/>
        <v>0</v>
      </c>
      <c r="AX329" s="24">
        <f t="shared" si="960"/>
        <v>0</v>
      </c>
      <c r="AY329" s="24">
        <f t="shared" si="960"/>
        <v>0</v>
      </c>
      <c r="AZ329" s="24">
        <f t="shared" si="960"/>
        <v>104</v>
      </c>
      <c r="BA329" s="24">
        <f t="shared" si="960"/>
        <v>0</v>
      </c>
      <c r="BB329" s="24">
        <f t="shared" si="960"/>
        <v>0</v>
      </c>
      <c r="BC329" s="24">
        <f t="shared" si="960"/>
        <v>0</v>
      </c>
      <c r="BD329" s="24">
        <f t="shared" si="960"/>
        <v>104</v>
      </c>
      <c r="BE329" s="24">
        <f t="shared" si="960"/>
        <v>0</v>
      </c>
      <c r="BF329" s="24">
        <f t="shared" si="960"/>
        <v>0</v>
      </c>
      <c r="BG329" s="24">
        <f t="shared" si="960"/>
        <v>0</v>
      </c>
      <c r="BH329" s="24">
        <f t="shared" si="960"/>
        <v>104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 ht="15.75" customHeight="1">
      <c r="A330" s="21"/>
      <c r="B330" s="21" t="s">
        <v>35</v>
      </c>
      <c r="C330" s="21">
        <f>COUNT(C323:C328)</f>
        <v>6</v>
      </c>
      <c r="D330" s="21"/>
      <c r="E330" s="21">
        <f>SUM(E322:E328)</f>
        <v>126</v>
      </c>
      <c r="F330" s="21">
        <f>SUM(E322:E328)+1</f>
        <v>127</v>
      </c>
      <c r="G330" s="22">
        <f>$BH329/F330</f>
        <v>0.8188976378</v>
      </c>
      <c r="H330" s="25">
        <f t="shared" ref="H330:J330" si="961">SUM(H322:H328)</f>
        <v>73</v>
      </c>
      <c r="I330" s="25">
        <f t="shared" si="961"/>
        <v>74</v>
      </c>
      <c r="J330" s="25">
        <f t="shared" si="961"/>
        <v>1</v>
      </c>
      <c r="K330" s="21"/>
      <c r="L330" s="21"/>
      <c r="M330" s="24">
        <f>SUM(M322:M327)</f>
        <v>0</v>
      </c>
      <c r="N330" s="24">
        <f t="shared" ref="N330:O330" si="962">SUM(N323:N327)</f>
        <v>0</v>
      </c>
      <c r="O330" s="24">
        <f t="shared" si="962"/>
        <v>0</v>
      </c>
      <c r="P330" s="22">
        <f>P329/F330</f>
        <v>0.5748031496</v>
      </c>
      <c r="Q330" s="21">
        <f t="shared" ref="Q330:S330" si="963">M329+Q329</f>
        <v>0</v>
      </c>
      <c r="R330" s="21">
        <f t="shared" si="963"/>
        <v>23</v>
      </c>
      <c r="S330" s="21">
        <f t="shared" si="963"/>
        <v>1</v>
      </c>
      <c r="T330" s="22">
        <f>T329/F330</f>
        <v>0.7637795276</v>
      </c>
      <c r="U330" s="21">
        <f t="shared" ref="U330:W330" si="964">Q330+U329</f>
        <v>0</v>
      </c>
      <c r="V330" s="21">
        <f t="shared" si="964"/>
        <v>23</v>
      </c>
      <c r="W330" s="21">
        <f t="shared" si="964"/>
        <v>1</v>
      </c>
      <c r="X330" s="22">
        <f>X329/F330</f>
        <v>0.7637795276</v>
      </c>
      <c r="Y330" s="21">
        <f t="shared" ref="Y330:AA330" si="965">U330+Y329</f>
        <v>0</v>
      </c>
      <c r="Z330" s="21">
        <f t="shared" si="965"/>
        <v>23</v>
      </c>
      <c r="AA330" s="21">
        <f t="shared" si="965"/>
        <v>1</v>
      </c>
      <c r="AB330" s="22">
        <f>AB329/F330</f>
        <v>0.7637795276</v>
      </c>
      <c r="AC330" s="21">
        <f t="shared" ref="AC330:AE330" si="966">Y330+AC329</f>
        <v>0</v>
      </c>
      <c r="AD330" s="21">
        <f t="shared" si="966"/>
        <v>23</v>
      </c>
      <c r="AE330" s="21">
        <f t="shared" si="966"/>
        <v>1</v>
      </c>
      <c r="AF330" s="22">
        <f>AF329/F330</f>
        <v>0.7637795276</v>
      </c>
      <c r="AG330" s="21">
        <f t="shared" ref="AG330:AI330" si="967">AC330+AG329</f>
        <v>1</v>
      </c>
      <c r="AH330" s="21">
        <f t="shared" si="967"/>
        <v>29</v>
      </c>
      <c r="AI330" s="21">
        <f t="shared" si="967"/>
        <v>1</v>
      </c>
      <c r="AJ330" s="22">
        <f>AJ329/F330</f>
        <v>0.8188976378</v>
      </c>
      <c r="AK330" s="21">
        <f t="shared" ref="AK330:AM330" si="968">AG330+AK329</f>
        <v>1</v>
      </c>
      <c r="AL330" s="21">
        <f t="shared" si="968"/>
        <v>29</v>
      </c>
      <c r="AM330" s="21">
        <f t="shared" si="968"/>
        <v>1</v>
      </c>
      <c r="AN330" s="22">
        <f>AN329/F330</f>
        <v>0.8188976378</v>
      </c>
      <c r="AO330" s="21">
        <f t="shared" ref="AO330:AQ330" si="969">AK330+AO329</f>
        <v>1</v>
      </c>
      <c r="AP330" s="21">
        <f t="shared" si="969"/>
        <v>29</v>
      </c>
      <c r="AQ330" s="21">
        <f t="shared" si="969"/>
        <v>1</v>
      </c>
      <c r="AR330" s="22">
        <f>AR329/F330</f>
        <v>0.8188976378</v>
      </c>
      <c r="AS330" s="21">
        <f t="shared" ref="AS330:AU330" si="970">AO330+AS329</f>
        <v>1</v>
      </c>
      <c r="AT330" s="21">
        <f t="shared" si="970"/>
        <v>29</v>
      </c>
      <c r="AU330" s="21">
        <f t="shared" si="970"/>
        <v>1</v>
      </c>
      <c r="AV330" s="22">
        <f>AV329/F330</f>
        <v>0.8188976378</v>
      </c>
      <c r="AW330" s="21">
        <f t="shared" ref="AW330:AY330" si="971">AS330+AW329</f>
        <v>1</v>
      </c>
      <c r="AX330" s="21">
        <f t="shared" si="971"/>
        <v>29</v>
      </c>
      <c r="AY330" s="21">
        <f t="shared" si="971"/>
        <v>1</v>
      </c>
      <c r="AZ330" s="22">
        <f>AZ329/F330</f>
        <v>0.8188976378</v>
      </c>
      <c r="BA330" s="21">
        <f t="shared" ref="BA330:BC330" si="972">AW330+BA329</f>
        <v>1</v>
      </c>
      <c r="BB330" s="21">
        <f t="shared" si="972"/>
        <v>29</v>
      </c>
      <c r="BC330" s="21">
        <f t="shared" si="972"/>
        <v>1</v>
      </c>
      <c r="BD330" s="22">
        <f>BD329/F330</f>
        <v>0.8188976378</v>
      </c>
      <c r="BE330" s="21">
        <f t="shared" ref="BE330:BG330" si="973">BA330+BE329</f>
        <v>1</v>
      </c>
      <c r="BF330" s="21">
        <f t="shared" si="973"/>
        <v>29</v>
      </c>
      <c r="BG330" s="21">
        <f t="shared" si="973"/>
        <v>1</v>
      </c>
      <c r="BH330" s="22">
        <f>BH329/F330</f>
        <v>0.8188976378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27"/>
      <c r="B331" s="24"/>
      <c r="C331" s="24"/>
      <c r="D331" s="24"/>
      <c r="E331" s="24"/>
      <c r="F331" s="24"/>
      <c r="G331" s="28"/>
      <c r="H331" s="23"/>
      <c r="I331" s="23"/>
      <c r="J331" s="23"/>
      <c r="K331" s="24"/>
      <c r="L331" s="24"/>
      <c r="M331" s="24"/>
      <c r="N331" s="24"/>
      <c r="O331" s="24"/>
      <c r="P331" s="23"/>
      <c r="Q331" s="24"/>
      <c r="R331" s="24"/>
      <c r="S331" s="24"/>
      <c r="T331" s="25"/>
      <c r="U331" s="24"/>
      <c r="V331" s="24"/>
      <c r="W331" s="24"/>
      <c r="X331" s="21"/>
      <c r="Y331" s="24"/>
      <c r="Z331" s="24"/>
      <c r="AA331" s="24"/>
      <c r="AB331" s="21"/>
      <c r="AC331" s="24"/>
      <c r="AD331" s="24"/>
      <c r="AE331" s="24"/>
      <c r="AF331" s="21"/>
      <c r="AG331" s="24"/>
      <c r="AH331" s="24"/>
      <c r="AI331" s="24"/>
      <c r="AJ331" s="21"/>
      <c r="AK331" s="24"/>
      <c r="AL331" s="24"/>
      <c r="AM331" s="24"/>
      <c r="AN331" s="21"/>
      <c r="AO331" s="24"/>
      <c r="AP331" s="24"/>
      <c r="AQ331" s="24"/>
      <c r="AR331" s="21"/>
      <c r="AS331" s="24"/>
      <c r="AT331" s="24"/>
      <c r="AU331" s="24"/>
      <c r="AV331" s="21"/>
      <c r="AW331" s="24"/>
      <c r="AX331" s="24"/>
      <c r="AY331" s="24"/>
      <c r="AZ331" s="21"/>
      <c r="BA331" s="24"/>
      <c r="BB331" s="24"/>
      <c r="BC331" s="24"/>
      <c r="BD331" s="21"/>
      <c r="BE331" s="24"/>
      <c r="BF331" s="24"/>
      <c r="BG331" s="24"/>
      <c r="BH331" s="21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27" t="s">
        <v>267</v>
      </c>
      <c r="B332" s="24"/>
      <c r="C332" s="24"/>
      <c r="D332" s="24"/>
      <c r="E332" s="24"/>
      <c r="F332" s="24"/>
      <c r="G332" s="28"/>
      <c r="H332" s="23"/>
      <c r="I332" s="23"/>
      <c r="J332" s="23"/>
      <c r="K332" s="24">
        <v>2027.0</v>
      </c>
      <c r="L332" s="24">
        <v>2025.0</v>
      </c>
      <c r="M332" s="24"/>
      <c r="N332" s="24"/>
      <c r="O332" s="24"/>
      <c r="P332" s="23" t="str">
        <f>+H332</f>
        <v/>
      </c>
      <c r="Q332" s="24"/>
      <c r="R332" s="24"/>
      <c r="S332" s="24"/>
      <c r="T332" s="25">
        <f t="shared" ref="T332:T340" si="974">SUM(P332:S332)</f>
        <v>0</v>
      </c>
      <c r="U332" s="24"/>
      <c r="V332" s="24"/>
      <c r="W332" s="24"/>
      <c r="X332" s="25">
        <f t="shared" ref="X332:X340" si="975">SUM(T332:W332)</f>
        <v>0</v>
      </c>
      <c r="Y332" s="24"/>
      <c r="Z332" s="24"/>
      <c r="AA332" s="24"/>
      <c r="AB332" s="25">
        <f t="shared" ref="AB332:AB340" si="976">SUM(X332:AA332)</f>
        <v>0</v>
      </c>
      <c r="AC332" s="24"/>
      <c r="AD332" s="24"/>
      <c r="AE332" s="24"/>
      <c r="AF332" s="25">
        <f t="shared" ref="AF332:AF340" si="977">SUM(AB332:AE332)</f>
        <v>0</v>
      </c>
      <c r="AG332" s="24"/>
      <c r="AH332" s="24"/>
      <c r="AI332" s="24"/>
      <c r="AJ332" s="25">
        <f t="shared" ref="AJ332:AJ340" si="978">SUM(AF332:AI332)</f>
        <v>0</v>
      </c>
      <c r="AK332" s="24"/>
      <c r="AL332" s="24"/>
      <c r="AM332" s="24"/>
      <c r="AN332" s="25">
        <f t="shared" ref="AN332:AN340" si="979">SUM(AJ332:AM332)</f>
        <v>0</v>
      </c>
      <c r="AO332" s="24"/>
      <c r="AP332" s="24"/>
      <c r="AQ332" s="24"/>
      <c r="AR332" s="25">
        <f t="shared" ref="AR332:AR340" si="980">SUM(AN332:AQ332)</f>
        <v>0</v>
      </c>
      <c r="AS332" s="24"/>
      <c r="AT332" s="24"/>
      <c r="AU332" s="24"/>
      <c r="AV332" s="25">
        <f t="shared" ref="AV332:AV340" si="981">SUM(AR332:AU332)</f>
        <v>0</v>
      </c>
      <c r="AW332" s="24"/>
      <c r="AX332" s="24"/>
      <c r="AY332" s="24"/>
      <c r="AZ332" s="25">
        <f t="shared" ref="AZ332:AZ340" si="982">SUM(AV332:AY332)</f>
        <v>0</v>
      </c>
      <c r="BA332" s="24"/>
      <c r="BB332" s="24"/>
      <c r="BC332" s="24"/>
      <c r="BD332" s="25">
        <f t="shared" ref="BD332:BD340" si="983">SUM(AZ332:BC332)</f>
        <v>0</v>
      </c>
      <c r="BE332" s="24"/>
      <c r="BF332" s="24"/>
      <c r="BG332" s="24"/>
      <c r="BH332" s="25">
        <f t="shared" ref="BH332:BH340" si="984">SUM(BD332:BG332)</f>
        <v>0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268</v>
      </c>
      <c r="C333" s="36">
        <v>1.0</v>
      </c>
      <c r="D333" s="36">
        <v>9612.0</v>
      </c>
      <c r="E333" s="35">
        <v>90.0</v>
      </c>
      <c r="F333" s="35">
        <f t="shared" ref="F333:F340" si="985">E333+1</f>
        <v>91</v>
      </c>
      <c r="G333" s="37">
        <f t="shared" ref="G333:G340" si="986">$BH333/F333</f>
        <v>1.010989011</v>
      </c>
      <c r="H333" s="38">
        <v>88.0</v>
      </c>
      <c r="I333" s="38">
        <f t="shared" ref="I333:I340" si="987">+H333+J333</f>
        <v>88</v>
      </c>
      <c r="J333" s="38"/>
      <c r="K333" s="40">
        <v>2027.0</v>
      </c>
      <c r="L333" s="24">
        <v>2025.0</v>
      </c>
      <c r="M333" s="35"/>
      <c r="N333" s="35"/>
      <c r="O333" s="35"/>
      <c r="P333" s="39">
        <f t="shared" ref="P333:P340" si="988">+H333+SUM(M333:O333)</f>
        <v>88</v>
      </c>
      <c r="Q333" s="35"/>
      <c r="R333" s="35"/>
      <c r="S333" s="35"/>
      <c r="T333" s="39">
        <f t="shared" si="974"/>
        <v>88</v>
      </c>
      <c r="U333" s="35"/>
      <c r="V333" s="35"/>
      <c r="W333" s="35"/>
      <c r="X333" s="39">
        <f t="shared" si="975"/>
        <v>88</v>
      </c>
      <c r="Y333" s="35" t="s">
        <v>82</v>
      </c>
      <c r="Z333" s="35"/>
      <c r="AA333" s="35"/>
      <c r="AB333" s="39">
        <f t="shared" si="976"/>
        <v>88</v>
      </c>
      <c r="AC333" s="35"/>
      <c r="AD333" s="35"/>
      <c r="AE333" s="35"/>
      <c r="AF333" s="39">
        <f t="shared" si="977"/>
        <v>88</v>
      </c>
      <c r="AG333" s="35">
        <v>3.0</v>
      </c>
      <c r="AH333" s="35"/>
      <c r="AI333" s="35"/>
      <c r="AJ333" s="39">
        <f t="shared" si="978"/>
        <v>91</v>
      </c>
      <c r="AK333" s="35"/>
      <c r="AL333" s="35"/>
      <c r="AM333" s="35"/>
      <c r="AN333" s="39">
        <f t="shared" si="979"/>
        <v>91</v>
      </c>
      <c r="AO333" s="35"/>
      <c r="AP333" s="35"/>
      <c r="AQ333" s="35"/>
      <c r="AR333" s="39">
        <f t="shared" si="980"/>
        <v>91</v>
      </c>
      <c r="AS333" s="35"/>
      <c r="AT333" s="35"/>
      <c r="AU333" s="35"/>
      <c r="AV333" s="39">
        <f t="shared" si="981"/>
        <v>91</v>
      </c>
      <c r="AW333" s="35"/>
      <c r="AX333" s="35"/>
      <c r="AY333" s="35"/>
      <c r="AZ333" s="39">
        <f t="shared" si="982"/>
        <v>91</v>
      </c>
      <c r="BA333" s="41">
        <v>1.0</v>
      </c>
      <c r="BB333" s="35"/>
      <c r="BC333" s="35"/>
      <c r="BD333" s="39">
        <f t="shared" si="983"/>
        <v>92</v>
      </c>
      <c r="BE333" s="35"/>
      <c r="BF333" s="35"/>
      <c r="BG333" s="35"/>
      <c r="BH333" s="39">
        <f t="shared" si="984"/>
        <v>92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269</v>
      </c>
      <c r="C334" s="36">
        <v>2.0</v>
      </c>
      <c r="D334" s="36">
        <v>10223.0</v>
      </c>
      <c r="E334" s="36">
        <v>30.0</v>
      </c>
      <c r="F334" s="35">
        <f t="shared" si="985"/>
        <v>31</v>
      </c>
      <c r="G334" s="37">
        <f t="shared" si="986"/>
        <v>1.032258065</v>
      </c>
      <c r="H334" s="38">
        <v>30.0</v>
      </c>
      <c r="I334" s="38">
        <f t="shared" si="987"/>
        <v>30</v>
      </c>
      <c r="J334" s="38"/>
      <c r="K334" s="40">
        <v>2027.0</v>
      </c>
      <c r="L334" s="24">
        <v>2026.0</v>
      </c>
      <c r="M334" s="35"/>
      <c r="N334" s="35"/>
      <c r="O334" s="35"/>
      <c r="P334" s="39">
        <f t="shared" si="988"/>
        <v>30</v>
      </c>
      <c r="Q334" s="35"/>
      <c r="R334" s="35"/>
      <c r="S334" s="35"/>
      <c r="T334" s="39">
        <f t="shared" si="974"/>
        <v>30</v>
      </c>
      <c r="U334" s="35"/>
      <c r="V334" s="35"/>
      <c r="W334" s="35"/>
      <c r="X334" s="39">
        <f t="shared" si="975"/>
        <v>30</v>
      </c>
      <c r="Y334" s="35"/>
      <c r="Z334" s="35"/>
      <c r="AA334" s="35"/>
      <c r="AB334" s="39">
        <f t="shared" si="976"/>
        <v>30</v>
      </c>
      <c r="AC334" s="35"/>
      <c r="AD334" s="35"/>
      <c r="AE334" s="35"/>
      <c r="AF334" s="39">
        <f t="shared" si="977"/>
        <v>30</v>
      </c>
      <c r="AG334" s="35"/>
      <c r="AH334" s="35"/>
      <c r="AI334" s="35"/>
      <c r="AJ334" s="39">
        <f t="shared" si="978"/>
        <v>30</v>
      </c>
      <c r="AK334" s="35"/>
      <c r="AL334" s="35"/>
      <c r="AM334" s="35"/>
      <c r="AN334" s="39">
        <f t="shared" si="979"/>
        <v>30</v>
      </c>
      <c r="AO334" s="35"/>
      <c r="AP334" s="35"/>
      <c r="AQ334" s="35"/>
      <c r="AR334" s="39">
        <f t="shared" si="980"/>
        <v>30</v>
      </c>
      <c r="AS334" s="41">
        <v>2.0</v>
      </c>
      <c r="AT334" s="35"/>
      <c r="AU334" s="35"/>
      <c r="AV334" s="39">
        <f t="shared" si="981"/>
        <v>32</v>
      </c>
      <c r="AW334" s="35"/>
      <c r="AX334" s="35"/>
      <c r="AY334" s="35"/>
      <c r="AZ334" s="39">
        <f t="shared" si="982"/>
        <v>32</v>
      </c>
      <c r="BA334" s="35"/>
      <c r="BB334" s="35"/>
      <c r="BC334" s="35"/>
      <c r="BD334" s="39">
        <f t="shared" si="983"/>
        <v>32</v>
      </c>
      <c r="BE334" s="35"/>
      <c r="BF334" s="35"/>
      <c r="BG334" s="35"/>
      <c r="BH334" s="39">
        <f t="shared" si="984"/>
        <v>32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270</v>
      </c>
      <c r="C335" s="36">
        <v>6.0</v>
      </c>
      <c r="D335" s="36">
        <v>9951.0</v>
      </c>
      <c r="E335" s="35">
        <v>59.0</v>
      </c>
      <c r="F335" s="35">
        <f t="shared" si="985"/>
        <v>60</v>
      </c>
      <c r="G335" s="37">
        <f t="shared" si="986"/>
        <v>1.033333333</v>
      </c>
      <c r="H335" s="38">
        <v>48.0</v>
      </c>
      <c r="I335" s="38">
        <f t="shared" si="987"/>
        <v>63</v>
      </c>
      <c r="J335" s="70">
        <v>15.0</v>
      </c>
      <c r="K335" s="40">
        <v>2027.0</v>
      </c>
      <c r="L335" s="24">
        <v>2025.0</v>
      </c>
      <c r="M335" s="35">
        <v>1.0</v>
      </c>
      <c r="N335" s="35"/>
      <c r="O335" s="35"/>
      <c r="P335" s="39">
        <f t="shared" si="988"/>
        <v>49</v>
      </c>
      <c r="Q335" s="35"/>
      <c r="R335" s="35"/>
      <c r="S335" s="35"/>
      <c r="T335" s="39">
        <f t="shared" si="974"/>
        <v>49</v>
      </c>
      <c r="U335" s="35"/>
      <c r="V335" s="35"/>
      <c r="W335" s="35"/>
      <c r="X335" s="39">
        <f t="shared" si="975"/>
        <v>49</v>
      </c>
      <c r="Y335" s="35"/>
      <c r="Z335" s="35"/>
      <c r="AA335" s="35"/>
      <c r="AB335" s="39">
        <f t="shared" si="976"/>
        <v>49</v>
      </c>
      <c r="AC335" s="35"/>
      <c r="AD335" s="35"/>
      <c r="AE335" s="35"/>
      <c r="AF335" s="39">
        <f t="shared" si="977"/>
        <v>49</v>
      </c>
      <c r="AG335" s="35">
        <v>3.0</v>
      </c>
      <c r="AH335" s="35">
        <v>9.0</v>
      </c>
      <c r="AI335" s="35"/>
      <c r="AJ335" s="39">
        <f t="shared" si="978"/>
        <v>61</v>
      </c>
      <c r="AK335" s="35"/>
      <c r="AL335" s="35"/>
      <c r="AM335" s="35"/>
      <c r="AN335" s="39">
        <f t="shared" si="979"/>
        <v>61</v>
      </c>
      <c r="AO335" s="41">
        <v>1.0</v>
      </c>
      <c r="AP335" s="35"/>
      <c r="AQ335" s="35"/>
      <c r="AR335" s="39">
        <f t="shared" si="980"/>
        <v>62</v>
      </c>
      <c r="AS335" s="35"/>
      <c r="AT335" s="35"/>
      <c r="AU335" s="35"/>
      <c r="AV335" s="39">
        <f t="shared" si="981"/>
        <v>62</v>
      </c>
      <c r="AW335" s="35"/>
      <c r="AX335" s="35"/>
      <c r="AY335" s="35"/>
      <c r="AZ335" s="39">
        <f t="shared" si="982"/>
        <v>62</v>
      </c>
      <c r="BA335" s="35"/>
      <c r="BB335" s="35"/>
      <c r="BC335" s="35"/>
      <c r="BD335" s="39">
        <f t="shared" si="983"/>
        <v>62</v>
      </c>
      <c r="BE335" s="35"/>
      <c r="BF335" s="35"/>
      <c r="BG335" s="35"/>
      <c r="BH335" s="39">
        <f t="shared" si="984"/>
        <v>62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271</v>
      </c>
      <c r="C336" s="36">
        <v>7.0</v>
      </c>
      <c r="D336" s="36">
        <v>9892.0</v>
      </c>
      <c r="E336" s="35">
        <v>45.0</v>
      </c>
      <c r="F336" s="35">
        <f t="shared" si="985"/>
        <v>46</v>
      </c>
      <c r="G336" s="37">
        <f t="shared" si="986"/>
        <v>0.9130434783</v>
      </c>
      <c r="H336" s="38">
        <v>34.0</v>
      </c>
      <c r="I336" s="38">
        <f t="shared" si="987"/>
        <v>35</v>
      </c>
      <c r="J336" s="38">
        <v>1.0</v>
      </c>
      <c r="K336" s="40">
        <v>2027.0</v>
      </c>
      <c r="L336" s="24">
        <v>2025.0</v>
      </c>
      <c r="M336" s="35"/>
      <c r="N336" s="35">
        <v>8.0</v>
      </c>
      <c r="O336" s="35"/>
      <c r="P336" s="39">
        <f t="shared" si="988"/>
        <v>42</v>
      </c>
      <c r="Q336" s="35"/>
      <c r="R336" s="35"/>
      <c r="S336" s="35"/>
      <c r="T336" s="39">
        <f t="shared" si="974"/>
        <v>42</v>
      </c>
      <c r="U336" s="35"/>
      <c r="V336" s="35"/>
      <c r="W336" s="35"/>
      <c r="X336" s="39">
        <f t="shared" si="975"/>
        <v>42</v>
      </c>
      <c r="Y336" s="35"/>
      <c r="Z336" s="35"/>
      <c r="AA336" s="35"/>
      <c r="AB336" s="39">
        <f t="shared" si="976"/>
        <v>42</v>
      </c>
      <c r="AC336" s="35"/>
      <c r="AD336" s="35"/>
      <c r="AE336" s="35"/>
      <c r="AF336" s="39">
        <f t="shared" si="977"/>
        <v>42</v>
      </c>
      <c r="AG336" s="35"/>
      <c r="AH336" s="35"/>
      <c r="AI336" s="35"/>
      <c r="AJ336" s="39">
        <f t="shared" si="978"/>
        <v>42</v>
      </c>
      <c r="AK336" s="35"/>
      <c r="AL336" s="35"/>
      <c r="AM336" s="35"/>
      <c r="AN336" s="39">
        <f t="shared" si="979"/>
        <v>42</v>
      </c>
      <c r="AO336" s="35"/>
      <c r="AP336" s="35"/>
      <c r="AQ336" s="35"/>
      <c r="AR336" s="39">
        <f t="shared" si="980"/>
        <v>42</v>
      </c>
      <c r="AS336" s="35"/>
      <c r="AT336" s="35"/>
      <c r="AU336" s="35"/>
      <c r="AV336" s="39">
        <f t="shared" si="981"/>
        <v>42</v>
      </c>
      <c r="AW336" s="35"/>
      <c r="AX336" s="35"/>
      <c r="AY336" s="35"/>
      <c r="AZ336" s="39">
        <f t="shared" si="982"/>
        <v>42</v>
      </c>
      <c r="BA336" s="35"/>
      <c r="BB336" s="35"/>
      <c r="BC336" s="35"/>
      <c r="BD336" s="39">
        <f t="shared" si="983"/>
        <v>42</v>
      </c>
      <c r="BE336" s="35"/>
      <c r="BF336" s="35"/>
      <c r="BG336" s="35"/>
      <c r="BH336" s="39">
        <f t="shared" si="984"/>
        <v>42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272</v>
      </c>
      <c r="C337" s="36">
        <v>8.0</v>
      </c>
      <c r="D337" s="36">
        <v>10216.0</v>
      </c>
      <c r="E337" s="35">
        <v>133.0</v>
      </c>
      <c r="F337" s="35">
        <f t="shared" si="985"/>
        <v>134</v>
      </c>
      <c r="G337" s="37">
        <f t="shared" si="986"/>
        <v>0.9402985075</v>
      </c>
      <c r="H337" s="38">
        <v>121.0</v>
      </c>
      <c r="I337" s="38">
        <f t="shared" si="987"/>
        <v>121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8"/>
        <v>121</v>
      </c>
      <c r="Q337" s="35"/>
      <c r="R337" s="35"/>
      <c r="S337" s="35"/>
      <c r="T337" s="39">
        <f t="shared" si="974"/>
        <v>121</v>
      </c>
      <c r="U337" s="35"/>
      <c r="V337" s="35"/>
      <c r="W337" s="35"/>
      <c r="X337" s="39">
        <f t="shared" si="975"/>
        <v>121</v>
      </c>
      <c r="Y337" s="35" t="s">
        <v>82</v>
      </c>
      <c r="Z337" s="35" t="s">
        <v>82</v>
      </c>
      <c r="AA337" s="35"/>
      <c r="AB337" s="39">
        <f t="shared" si="976"/>
        <v>121</v>
      </c>
      <c r="AC337" s="35"/>
      <c r="AD337" s="35"/>
      <c r="AE337" s="35"/>
      <c r="AF337" s="39">
        <f t="shared" si="977"/>
        <v>121</v>
      </c>
      <c r="AG337" s="35">
        <v>1.0</v>
      </c>
      <c r="AH337" s="35">
        <v>2.0</v>
      </c>
      <c r="AI337" s="35"/>
      <c r="AJ337" s="39">
        <f t="shared" si="978"/>
        <v>124</v>
      </c>
      <c r="AK337" s="35"/>
      <c r="AL337" s="35"/>
      <c r="AM337" s="35"/>
      <c r="AN337" s="39">
        <f t="shared" si="979"/>
        <v>124</v>
      </c>
      <c r="AO337" s="35"/>
      <c r="AP337" s="35"/>
      <c r="AQ337" s="35"/>
      <c r="AR337" s="39">
        <f t="shared" si="980"/>
        <v>124</v>
      </c>
      <c r="AS337" s="35"/>
      <c r="AT337" s="41">
        <v>1.0</v>
      </c>
      <c r="AU337" s="35"/>
      <c r="AV337" s="39">
        <f t="shared" si="981"/>
        <v>125</v>
      </c>
      <c r="AW337" s="35"/>
      <c r="AX337" s="35"/>
      <c r="AY337" s="35"/>
      <c r="AZ337" s="39">
        <f t="shared" si="982"/>
        <v>125</v>
      </c>
      <c r="BA337" s="35"/>
      <c r="BB337" s="41">
        <v>1.0</v>
      </c>
      <c r="BC337" s="35"/>
      <c r="BD337" s="39">
        <f t="shared" si="983"/>
        <v>126</v>
      </c>
      <c r="BE337" s="35"/>
      <c r="BF337" s="35"/>
      <c r="BG337" s="35"/>
      <c r="BH337" s="39">
        <f t="shared" si="984"/>
        <v>126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273</v>
      </c>
      <c r="C338" s="36">
        <v>11.0</v>
      </c>
      <c r="D338" s="36">
        <v>11447.0</v>
      </c>
      <c r="E338" s="35">
        <v>21.0</v>
      </c>
      <c r="F338" s="35">
        <f t="shared" si="985"/>
        <v>22</v>
      </c>
      <c r="G338" s="37">
        <f t="shared" si="986"/>
        <v>1.090909091</v>
      </c>
      <c r="H338" s="38">
        <v>19.0</v>
      </c>
      <c r="I338" s="38">
        <f t="shared" si="987"/>
        <v>23</v>
      </c>
      <c r="J338" s="70">
        <v>4.0</v>
      </c>
      <c r="K338" s="40">
        <v>2027.0</v>
      </c>
      <c r="L338" s="24">
        <v>2025.0</v>
      </c>
      <c r="M338" s="35">
        <v>1.0</v>
      </c>
      <c r="N338" s="35"/>
      <c r="O338" s="35"/>
      <c r="P338" s="39">
        <f t="shared" si="988"/>
        <v>20</v>
      </c>
      <c r="Q338" s="35"/>
      <c r="R338" s="35"/>
      <c r="S338" s="35"/>
      <c r="T338" s="39">
        <f t="shared" si="974"/>
        <v>20</v>
      </c>
      <c r="U338" s="35"/>
      <c r="V338" s="35"/>
      <c r="W338" s="35"/>
      <c r="X338" s="39">
        <f t="shared" si="975"/>
        <v>20</v>
      </c>
      <c r="Y338" s="35"/>
      <c r="Z338" s="35"/>
      <c r="AA338" s="35"/>
      <c r="AB338" s="39">
        <f t="shared" si="976"/>
        <v>20</v>
      </c>
      <c r="AC338" s="41">
        <v>2.0</v>
      </c>
      <c r="AD338" s="35"/>
      <c r="AE338" s="35"/>
      <c r="AF338" s="39">
        <f t="shared" si="977"/>
        <v>22</v>
      </c>
      <c r="AG338" s="41">
        <v>2.0</v>
      </c>
      <c r="AH338" s="35"/>
      <c r="AI338" s="35"/>
      <c r="AJ338" s="39">
        <f t="shared" si="978"/>
        <v>24</v>
      </c>
      <c r="AK338" s="35"/>
      <c r="AL338" s="35"/>
      <c r="AM338" s="35"/>
      <c r="AN338" s="39">
        <f t="shared" si="979"/>
        <v>24</v>
      </c>
      <c r="AO338" s="35"/>
      <c r="AP338" s="35"/>
      <c r="AQ338" s="35"/>
      <c r="AR338" s="39">
        <f t="shared" si="980"/>
        <v>24</v>
      </c>
      <c r="AS338" s="35"/>
      <c r="AT338" s="35"/>
      <c r="AU338" s="35"/>
      <c r="AV338" s="39">
        <f t="shared" si="981"/>
        <v>24</v>
      </c>
      <c r="AW338" s="35"/>
      <c r="AX338" s="35"/>
      <c r="AY338" s="35"/>
      <c r="AZ338" s="39">
        <f t="shared" si="982"/>
        <v>24</v>
      </c>
      <c r="BA338" s="35"/>
      <c r="BB338" s="35"/>
      <c r="BC338" s="35"/>
      <c r="BD338" s="39">
        <f t="shared" si="983"/>
        <v>24</v>
      </c>
      <c r="BE338" s="35"/>
      <c r="BF338" s="35"/>
      <c r="BG338" s="35"/>
      <c r="BH338" s="39">
        <f t="shared" si="984"/>
        <v>24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35"/>
      <c r="B339" s="36" t="s">
        <v>274</v>
      </c>
      <c r="C339" s="36">
        <v>13.0</v>
      </c>
      <c r="D339" s="36"/>
      <c r="E339" s="35">
        <v>13.0</v>
      </c>
      <c r="F339" s="35">
        <f t="shared" si="985"/>
        <v>14</v>
      </c>
      <c r="G339" s="37">
        <f t="shared" si="986"/>
        <v>1</v>
      </c>
      <c r="H339" s="38">
        <v>12.0</v>
      </c>
      <c r="I339" s="38">
        <f t="shared" si="987"/>
        <v>12</v>
      </c>
      <c r="J339" s="38"/>
      <c r="K339" s="40">
        <v>2027.0</v>
      </c>
      <c r="L339" s="24">
        <v>2025.0</v>
      </c>
      <c r="M339" s="35"/>
      <c r="N339" s="35"/>
      <c r="O339" s="35"/>
      <c r="P339" s="39">
        <f t="shared" si="988"/>
        <v>12</v>
      </c>
      <c r="Q339" s="35"/>
      <c r="R339" s="35"/>
      <c r="S339" s="35"/>
      <c r="T339" s="39">
        <f t="shared" si="974"/>
        <v>12</v>
      </c>
      <c r="U339" s="35"/>
      <c r="V339" s="35"/>
      <c r="W339" s="35"/>
      <c r="X339" s="39">
        <f t="shared" si="975"/>
        <v>12</v>
      </c>
      <c r="Y339" s="35"/>
      <c r="Z339" s="35"/>
      <c r="AA339" s="35"/>
      <c r="AB339" s="39">
        <f t="shared" si="976"/>
        <v>12</v>
      </c>
      <c r="AC339" s="35"/>
      <c r="AD339" s="35"/>
      <c r="AE339" s="35"/>
      <c r="AF339" s="39">
        <f t="shared" si="977"/>
        <v>12</v>
      </c>
      <c r="AG339" s="35"/>
      <c r="AH339" s="35"/>
      <c r="AI339" s="35"/>
      <c r="AJ339" s="39">
        <f t="shared" si="978"/>
        <v>12</v>
      </c>
      <c r="AK339" s="35"/>
      <c r="AL339" s="35"/>
      <c r="AM339" s="35"/>
      <c r="AN339" s="39">
        <f t="shared" si="979"/>
        <v>12</v>
      </c>
      <c r="AO339" s="35"/>
      <c r="AP339" s="35"/>
      <c r="AQ339" s="35"/>
      <c r="AR339" s="39">
        <f t="shared" si="980"/>
        <v>12</v>
      </c>
      <c r="AS339" s="35"/>
      <c r="AT339" s="35"/>
      <c r="AU339" s="35"/>
      <c r="AV339" s="39">
        <f t="shared" si="981"/>
        <v>12</v>
      </c>
      <c r="AW339" s="41">
        <v>2.0</v>
      </c>
      <c r="AX339" s="35"/>
      <c r="AY339" s="35"/>
      <c r="AZ339" s="39">
        <f t="shared" si="982"/>
        <v>14</v>
      </c>
      <c r="BA339" s="35"/>
      <c r="BB339" s="35"/>
      <c r="BC339" s="35"/>
      <c r="BD339" s="39">
        <f t="shared" si="983"/>
        <v>14</v>
      </c>
      <c r="BE339" s="35"/>
      <c r="BF339" s="35"/>
      <c r="BG339" s="35"/>
      <c r="BH339" s="39">
        <f t="shared" si="984"/>
        <v>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35"/>
      <c r="B340" s="36" t="s">
        <v>275</v>
      </c>
      <c r="C340" s="36">
        <v>15.0</v>
      </c>
      <c r="D340" s="36">
        <v>2485.0</v>
      </c>
      <c r="E340" s="35">
        <v>45.0</v>
      </c>
      <c r="F340" s="35">
        <f t="shared" si="985"/>
        <v>46</v>
      </c>
      <c r="G340" s="37">
        <f t="shared" si="986"/>
        <v>1</v>
      </c>
      <c r="H340" s="38">
        <v>42.0</v>
      </c>
      <c r="I340" s="38">
        <f t="shared" si="987"/>
        <v>44</v>
      </c>
      <c r="J340" s="70">
        <v>2.0</v>
      </c>
      <c r="K340" s="40">
        <v>2027.0</v>
      </c>
      <c r="L340" s="24">
        <v>2025.0</v>
      </c>
      <c r="M340" s="35"/>
      <c r="N340" s="35"/>
      <c r="O340" s="35"/>
      <c r="P340" s="39">
        <f t="shared" si="988"/>
        <v>42</v>
      </c>
      <c r="Q340" s="35"/>
      <c r="R340" s="35"/>
      <c r="S340" s="35"/>
      <c r="T340" s="39">
        <f t="shared" si="974"/>
        <v>42</v>
      </c>
      <c r="U340" s="35"/>
      <c r="V340" s="35"/>
      <c r="W340" s="35"/>
      <c r="X340" s="39">
        <f t="shared" si="975"/>
        <v>42</v>
      </c>
      <c r="Y340" s="35"/>
      <c r="Z340" s="35"/>
      <c r="AA340" s="35"/>
      <c r="AB340" s="39">
        <f t="shared" si="976"/>
        <v>42</v>
      </c>
      <c r="AC340" s="35"/>
      <c r="AD340" s="35"/>
      <c r="AE340" s="35"/>
      <c r="AF340" s="39">
        <f t="shared" si="977"/>
        <v>42</v>
      </c>
      <c r="AG340" s="35"/>
      <c r="AH340" s="35"/>
      <c r="AI340" s="35"/>
      <c r="AJ340" s="39">
        <f t="shared" si="978"/>
        <v>42</v>
      </c>
      <c r="AK340" s="35"/>
      <c r="AL340" s="35"/>
      <c r="AM340" s="35"/>
      <c r="AN340" s="39">
        <f t="shared" si="979"/>
        <v>42</v>
      </c>
      <c r="AO340" s="35"/>
      <c r="AP340" s="35"/>
      <c r="AQ340" s="35"/>
      <c r="AR340" s="39">
        <f t="shared" si="980"/>
        <v>42</v>
      </c>
      <c r="AS340" s="41">
        <v>3.0</v>
      </c>
      <c r="AT340" s="35"/>
      <c r="AU340" s="41">
        <v>1.0</v>
      </c>
      <c r="AV340" s="39">
        <f t="shared" si="981"/>
        <v>46</v>
      </c>
      <c r="AW340" s="41"/>
      <c r="AX340" s="35"/>
      <c r="AY340" s="35"/>
      <c r="AZ340" s="39">
        <f t="shared" si="982"/>
        <v>46</v>
      </c>
      <c r="BA340" s="35"/>
      <c r="BB340" s="35"/>
      <c r="BC340" s="35"/>
      <c r="BD340" s="39">
        <f t="shared" si="983"/>
        <v>46</v>
      </c>
      <c r="BE340" s="35"/>
      <c r="BF340" s="35"/>
      <c r="BG340" s="35"/>
      <c r="BH340" s="39">
        <f t="shared" si="984"/>
        <v>46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>
        <f t="shared" ref="M341:BH341" si="989">SUM(M332:M340)</f>
        <v>2</v>
      </c>
      <c r="N341" s="21">
        <f t="shared" si="989"/>
        <v>8</v>
      </c>
      <c r="O341" s="21">
        <f t="shared" si="989"/>
        <v>0</v>
      </c>
      <c r="P341" s="25">
        <f t="shared" si="989"/>
        <v>404</v>
      </c>
      <c r="Q341" s="25">
        <f t="shared" si="989"/>
        <v>0</v>
      </c>
      <c r="R341" s="25">
        <f t="shared" si="989"/>
        <v>0</v>
      </c>
      <c r="S341" s="25">
        <f t="shared" si="989"/>
        <v>0</v>
      </c>
      <c r="T341" s="25">
        <f t="shared" si="989"/>
        <v>404</v>
      </c>
      <c r="U341" s="25">
        <f t="shared" si="989"/>
        <v>0</v>
      </c>
      <c r="V341" s="25">
        <f t="shared" si="989"/>
        <v>0</v>
      </c>
      <c r="W341" s="25">
        <f t="shared" si="989"/>
        <v>0</v>
      </c>
      <c r="X341" s="25">
        <f t="shared" si="989"/>
        <v>404</v>
      </c>
      <c r="Y341" s="25">
        <f t="shared" si="989"/>
        <v>0</v>
      </c>
      <c r="Z341" s="25">
        <f t="shared" si="989"/>
        <v>0</v>
      </c>
      <c r="AA341" s="25">
        <f t="shared" si="989"/>
        <v>0</v>
      </c>
      <c r="AB341" s="25">
        <f t="shared" si="989"/>
        <v>404</v>
      </c>
      <c r="AC341" s="25">
        <f t="shared" si="989"/>
        <v>2</v>
      </c>
      <c r="AD341" s="25">
        <f t="shared" si="989"/>
        <v>0</v>
      </c>
      <c r="AE341" s="25">
        <f t="shared" si="989"/>
        <v>0</v>
      </c>
      <c r="AF341" s="25">
        <f t="shared" si="989"/>
        <v>406</v>
      </c>
      <c r="AG341" s="25">
        <f t="shared" si="989"/>
        <v>9</v>
      </c>
      <c r="AH341" s="25">
        <f t="shared" si="989"/>
        <v>11</v>
      </c>
      <c r="AI341" s="25">
        <f t="shared" si="989"/>
        <v>0</v>
      </c>
      <c r="AJ341" s="25">
        <f t="shared" si="989"/>
        <v>426</v>
      </c>
      <c r="AK341" s="25">
        <f t="shared" si="989"/>
        <v>0</v>
      </c>
      <c r="AL341" s="25">
        <f t="shared" si="989"/>
        <v>0</v>
      </c>
      <c r="AM341" s="25">
        <f t="shared" si="989"/>
        <v>0</v>
      </c>
      <c r="AN341" s="25">
        <f t="shared" si="989"/>
        <v>426</v>
      </c>
      <c r="AO341" s="25">
        <f t="shared" si="989"/>
        <v>1</v>
      </c>
      <c r="AP341" s="25">
        <f t="shared" si="989"/>
        <v>0</v>
      </c>
      <c r="AQ341" s="25">
        <f t="shared" si="989"/>
        <v>0</v>
      </c>
      <c r="AR341" s="25">
        <f t="shared" si="989"/>
        <v>427</v>
      </c>
      <c r="AS341" s="25">
        <f t="shared" si="989"/>
        <v>5</v>
      </c>
      <c r="AT341" s="25">
        <f t="shared" si="989"/>
        <v>1</v>
      </c>
      <c r="AU341" s="25">
        <f t="shared" si="989"/>
        <v>1</v>
      </c>
      <c r="AV341" s="25">
        <f t="shared" si="989"/>
        <v>434</v>
      </c>
      <c r="AW341" s="25">
        <f t="shared" si="989"/>
        <v>2</v>
      </c>
      <c r="AX341" s="25">
        <f t="shared" si="989"/>
        <v>0</v>
      </c>
      <c r="AY341" s="25">
        <f t="shared" si="989"/>
        <v>0</v>
      </c>
      <c r="AZ341" s="25">
        <f t="shared" si="989"/>
        <v>436</v>
      </c>
      <c r="BA341" s="25">
        <f t="shared" si="989"/>
        <v>1</v>
      </c>
      <c r="BB341" s="25">
        <f t="shared" si="989"/>
        <v>1</v>
      </c>
      <c r="BC341" s="25">
        <f t="shared" si="989"/>
        <v>0</v>
      </c>
      <c r="BD341" s="25">
        <f t="shared" si="989"/>
        <v>438</v>
      </c>
      <c r="BE341" s="25">
        <f t="shared" si="989"/>
        <v>0</v>
      </c>
      <c r="BF341" s="25">
        <f t="shared" si="989"/>
        <v>0</v>
      </c>
      <c r="BG341" s="25">
        <f t="shared" si="989"/>
        <v>0</v>
      </c>
      <c r="BH341" s="25">
        <f t="shared" si="989"/>
        <v>438</v>
      </c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21"/>
      <c r="B342" s="21" t="s">
        <v>35</v>
      </c>
      <c r="C342" s="21">
        <f>COUNT(C333:C340)</f>
        <v>8</v>
      </c>
      <c r="D342" s="21"/>
      <c r="E342" s="21">
        <f>SUM(E332:E340)</f>
        <v>436</v>
      </c>
      <c r="F342" s="21">
        <f>SUM(E332:E340)+1</f>
        <v>437</v>
      </c>
      <c r="G342" s="22">
        <f>$BH341/F342</f>
        <v>1.00228833</v>
      </c>
      <c r="H342" s="25">
        <f t="shared" ref="H342:J342" si="990">SUM(H332:H340)</f>
        <v>394</v>
      </c>
      <c r="I342" s="25">
        <f t="shared" si="990"/>
        <v>416</v>
      </c>
      <c r="J342" s="25">
        <f t="shared" si="990"/>
        <v>22</v>
      </c>
      <c r="K342" s="21"/>
      <c r="L342" s="21"/>
      <c r="M342" s="21">
        <f t="shared" ref="M342:O342" si="991">SUM(M332:M340)</f>
        <v>2</v>
      </c>
      <c r="N342" s="21">
        <f t="shared" si="991"/>
        <v>8</v>
      </c>
      <c r="O342" s="21">
        <f t="shared" si="991"/>
        <v>0</v>
      </c>
      <c r="P342" s="22">
        <f>P341/F342</f>
        <v>0.9244851259</v>
      </c>
      <c r="Q342" s="25">
        <f t="shared" ref="Q342:S342" si="992">M341+Q341</f>
        <v>2</v>
      </c>
      <c r="R342" s="25">
        <f t="shared" si="992"/>
        <v>8</v>
      </c>
      <c r="S342" s="25">
        <f t="shared" si="992"/>
        <v>0</v>
      </c>
      <c r="T342" s="22">
        <f>T341/F342</f>
        <v>0.9244851259</v>
      </c>
      <c r="U342" s="25">
        <f t="shared" ref="U342:W342" si="993">Q342+U341</f>
        <v>2</v>
      </c>
      <c r="V342" s="25">
        <f t="shared" si="993"/>
        <v>8</v>
      </c>
      <c r="W342" s="25">
        <f t="shared" si="993"/>
        <v>0</v>
      </c>
      <c r="X342" s="22">
        <f>X341/F342</f>
        <v>0.9244851259</v>
      </c>
      <c r="Y342" s="25">
        <f t="shared" ref="Y342:AA342" si="994">U342+Y341</f>
        <v>2</v>
      </c>
      <c r="Z342" s="25">
        <f t="shared" si="994"/>
        <v>8</v>
      </c>
      <c r="AA342" s="25">
        <f t="shared" si="994"/>
        <v>0</v>
      </c>
      <c r="AB342" s="22">
        <f>AB341/F342</f>
        <v>0.9244851259</v>
      </c>
      <c r="AC342" s="25">
        <f t="shared" ref="AC342:AE342" si="995">Y342+AC341</f>
        <v>4</v>
      </c>
      <c r="AD342" s="25">
        <f t="shared" si="995"/>
        <v>8</v>
      </c>
      <c r="AE342" s="25">
        <f t="shared" si="995"/>
        <v>0</v>
      </c>
      <c r="AF342" s="22">
        <f>AF341/F342</f>
        <v>0.9290617849</v>
      </c>
      <c r="AG342" s="25">
        <f t="shared" ref="AG342:AI342" si="996">AC342+AG341</f>
        <v>13</v>
      </c>
      <c r="AH342" s="25">
        <f t="shared" si="996"/>
        <v>19</v>
      </c>
      <c r="AI342" s="25">
        <f t="shared" si="996"/>
        <v>0</v>
      </c>
      <c r="AJ342" s="22">
        <f>AJ341/F342</f>
        <v>0.9748283753</v>
      </c>
      <c r="AK342" s="25">
        <f t="shared" ref="AK342:AM342" si="997">AG342+AK341</f>
        <v>13</v>
      </c>
      <c r="AL342" s="25">
        <f t="shared" si="997"/>
        <v>19</v>
      </c>
      <c r="AM342" s="25">
        <f t="shared" si="997"/>
        <v>0</v>
      </c>
      <c r="AN342" s="22">
        <f>AN341/F342</f>
        <v>0.9748283753</v>
      </c>
      <c r="AO342" s="25">
        <f t="shared" ref="AO342:AQ342" si="998">AK342+AO341</f>
        <v>14</v>
      </c>
      <c r="AP342" s="25">
        <f t="shared" si="998"/>
        <v>19</v>
      </c>
      <c r="AQ342" s="25">
        <f t="shared" si="998"/>
        <v>0</v>
      </c>
      <c r="AR342" s="22">
        <f>AR341/F342</f>
        <v>0.9771167048</v>
      </c>
      <c r="AS342" s="25">
        <f t="shared" ref="AS342:AU342" si="999">AO342+AS341</f>
        <v>19</v>
      </c>
      <c r="AT342" s="25">
        <f t="shared" si="999"/>
        <v>20</v>
      </c>
      <c r="AU342" s="25">
        <f t="shared" si="999"/>
        <v>1</v>
      </c>
      <c r="AV342" s="22">
        <f>AV341/F342</f>
        <v>0.9931350114</v>
      </c>
      <c r="AW342" s="25">
        <f t="shared" ref="AW342:AY342" si="1000">AS342+AW341</f>
        <v>21</v>
      </c>
      <c r="AX342" s="25">
        <f t="shared" si="1000"/>
        <v>20</v>
      </c>
      <c r="AY342" s="25">
        <f t="shared" si="1000"/>
        <v>1</v>
      </c>
      <c r="AZ342" s="22">
        <f>AZ341/F342</f>
        <v>0.9977116705</v>
      </c>
      <c r="BA342" s="25">
        <f t="shared" ref="BA342:BC342" si="1001">AW342+BA341</f>
        <v>22</v>
      </c>
      <c r="BB342" s="25">
        <f t="shared" si="1001"/>
        <v>21</v>
      </c>
      <c r="BC342" s="25">
        <f t="shared" si="1001"/>
        <v>1</v>
      </c>
      <c r="BD342" s="22">
        <f>BD341/F342</f>
        <v>1.00228833</v>
      </c>
      <c r="BE342" s="25">
        <f t="shared" ref="BE342:BG342" si="1002">BA342+BE341</f>
        <v>22</v>
      </c>
      <c r="BF342" s="25">
        <f t="shared" si="1002"/>
        <v>21</v>
      </c>
      <c r="BG342" s="25">
        <f t="shared" si="1002"/>
        <v>1</v>
      </c>
      <c r="BH342" s="22">
        <f>BH341/F342</f>
        <v>1.00228833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 ht="15.0" customHeight="1">
      <c r="A344" s="33" t="s">
        <v>276</v>
      </c>
      <c r="B344" s="21"/>
      <c r="C344" s="21"/>
      <c r="D344" s="21"/>
      <c r="E344" s="21"/>
      <c r="F344" s="21"/>
      <c r="G344" s="22"/>
      <c r="H344" s="21"/>
      <c r="I344" s="25"/>
      <c r="J344" s="21"/>
      <c r="K344" s="21">
        <v>2027.0</v>
      </c>
      <c r="L344" s="21">
        <v>2025.0</v>
      </c>
      <c r="M344" s="21"/>
      <c r="N344" s="21"/>
      <c r="O344" s="21"/>
      <c r="P344" s="25"/>
      <c r="Q344" s="21"/>
      <c r="R344" s="21"/>
      <c r="S344" s="21"/>
      <c r="T344" s="25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277</v>
      </c>
      <c r="C345" s="36">
        <v>18.0</v>
      </c>
      <c r="D345" s="36">
        <v>3.0</v>
      </c>
      <c r="E345" s="35">
        <v>17.0</v>
      </c>
      <c r="F345" s="35">
        <f t="shared" ref="F345:F355" si="1003">E345+1</f>
        <v>18</v>
      </c>
      <c r="G345" s="63">
        <f t="shared" ref="G345:G355" si="1004">$BH345/F345</f>
        <v>0.8888888889</v>
      </c>
      <c r="H345" s="35">
        <v>2.0</v>
      </c>
      <c r="I345" s="39">
        <f t="shared" ref="I345:I355" si="1005">H345+J345</f>
        <v>2</v>
      </c>
      <c r="J345" s="35"/>
      <c r="K345" s="35">
        <v>2025.0</v>
      </c>
      <c r="L345" s="21">
        <v>2025.0</v>
      </c>
      <c r="M345" s="35"/>
      <c r="N345" s="35">
        <v>13.0</v>
      </c>
      <c r="O345" s="35"/>
      <c r="P345" s="39">
        <f t="shared" ref="P345:P355" si="1006">+H345+SUM(M345:O345)</f>
        <v>15</v>
      </c>
      <c r="Q345" s="35"/>
      <c r="R345" s="35">
        <v>1.0</v>
      </c>
      <c r="S345" s="35"/>
      <c r="T345" s="39">
        <f t="shared" ref="T345:T355" si="1007">SUM(P345:S345)</f>
        <v>16</v>
      </c>
      <c r="U345" s="35"/>
      <c r="V345" s="35"/>
      <c r="W345" s="35"/>
      <c r="X345" s="39">
        <f t="shared" ref="X345:X355" si="1008">SUM(T345:W345)</f>
        <v>16</v>
      </c>
      <c r="Y345" s="35"/>
      <c r="Z345" s="35"/>
      <c r="AA345" s="35"/>
      <c r="AB345" s="39">
        <f t="shared" ref="AB345:AB355" si="1009">SUM(X345:AA345)</f>
        <v>16</v>
      </c>
      <c r="AC345" s="35"/>
      <c r="AD345" s="35"/>
      <c r="AE345" s="35"/>
      <c r="AF345" s="39">
        <f t="shared" ref="AF345:AF355" si="1010">SUM(AB345:AE345)</f>
        <v>16</v>
      </c>
      <c r="AG345" s="35"/>
      <c r="AH345" s="35"/>
      <c r="AI345" s="35"/>
      <c r="AJ345" s="39">
        <f t="shared" ref="AJ345:AJ355" si="1011">SUM(AF345:AI345)</f>
        <v>16</v>
      </c>
      <c r="AK345" s="35"/>
      <c r="AL345" s="35"/>
      <c r="AM345" s="35"/>
      <c r="AN345" s="39">
        <f t="shared" ref="AN345:AN355" si="1012">SUM(AJ345:AM345)</f>
        <v>16</v>
      </c>
      <c r="AO345" s="35"/>
      <c r="AP345" s="35"/>
      <c r="AQ345" s="35"/>
      <c r="AR345" s="39">
        <f t="shared" ref="AR345:AR355" si="1013">SUM(AN345:AQ345)</f>
        <v>16</v>
      </c>
      <c r="AS345" s="35"/>
      <c r="AT345" s="35"/>
      <c r="AU345" s="35"/>
      <c r="AV345" s="39">
        <f t="shared" ref="AV345:AV355" si="1014">SUM(AR345:AU345)</f>
        <v>16</v>
      </c>
      <c r="AW345" s="35"/>
      <c r="AX345" s="35"/>
      <c r="AY345" s="35"/>
      <c r="AZ345" s="39">
        <f t="shared" ref="AZ345:AZ355" si="1015">SUM(AV345:AY345)</f>
        <v>16</v>
      </c>
      <c r="BA345" s="35"/>
      <c r="BB345" s="35"/>
      <c r="BC345" s="35"/>
      <c r="BD345" s="39">
        <f t="shared" ref="BD345:BD355" si="1016">SUM(AZ345:BC345)</f>
        <v>16</v>
      </c>
      <c r="BE345" s="35"/>
      <c r="BF345" s="35"/>
      <c r="BG345" s="35"/>
      <c r="BH345" s="39">
        <f t="shared" ref="BH345:BH355" si="1017">SUM(BD345:BG345)</f>
        <v>16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278</v>
      </c>
      <c r="C346" s="36">
        <v>29.0</v>
      </c>
      <c r="D346" s="36">
        <v>2754.0</v>
      </c>
      <c r="E346" s="35">
        <v>31.0</v>
      </c>
      <c r="F346" s="35">
        <f t="shared" si="1003"/>
        <v>32</v>
      </c>
      <c r="G346" s="63">
        <f t="shared" si="1004"/>
        <v>1.0625</v>
      </c>
      <c r="H346" s="35">
        <v>21.0</v>
      </c>
      <c r="I346" s="39">
        <f t="shared" si="1005"/>
        <v>21</v>
      </c>
      <c r="J346" s="35"/>
      <c r="K346" s="35">
        <v>2025.0</v>
      </c>
      <c r="L346" s="21">
        <v>2025.0</v>
      </c>
      <c r="M346" s="35">
        <v>3.0</v>
      </c>
      <c r="N346" s="35">
        <v>5.0</v>
      </c>
      <c r="O346" s="35"/>
      <c r="P346" s="39">
        <f t="shared" si="1006"/>
        <v>29</v>
      </c>
      <c r="Q346" s="35"/>
      <c r="R346" s="35"/>
      <c r="S346" s="35"/>
      <c r="T346" s="39">
        <f t="shared" si="1007"/>
        <v>29</v>
      </c>
      <c r="U346" s="35"/>
      <c r="V346" s="35"/>
      <c r="W346" s="35"/>
      <c r="X346" s="39">
        <f t="shared" si="1008"/>
        <v>29</v>
      </c>
      <c r="Y346" s="35"/>
      <c r="Z346" s="35"/>
      <c r="AA346" s="35"/>
      <c r="AB346" s="39">
        <f t="shared" si="1009"/>
        <v>29</v>
      </c>
      <c r="AC346" s="35"/>
      <c r="AD346" s="35"/>
      <c r="AE346" s="35"/>
      <c r="AF346" s="39">
        <f t="shared" si="1010"/>
        <v>29</v>
      </c>
      <c r="AG346" s="35">
        <v>4.0</v>
      </c>
      <c r="AH346" s="35"/>
      <c r="AI346" s="35"/>
      <c r="AJ346" s="39">
        <f t="shared" si="1011"/>
        <v>33</v>
      </c>
      <c r="AK346" s="35"/>
      <c r="AL346" s="35"/>
      <c r="AM346" s="35"/>
      <c r="AN346" s="39">
        <f t="shared" si="1012"/>
        <v>33</v>
      </c>
      <c r="AO346" s="35"/>
      <c r="AP346" s="41">
        <v>1.0</v>
      </c>
      <c r="AQ346" s="35"/>
      <c r="AR346" s="39">
        <f t="shared" si="1013"/>
        <v>34</v>
      </c>
      <c r="AS346" s="35"/>
      <c r="AT346" s="35"/>
      <c r="AU346" s="35"/>
      <c r="AV346" s="39">
        <f t="shared" si="1014"/>
        <v>34</v>
      </c>
      <c r="AW346" s="35"/>
      <c r="AX346" s="35"/>
      <c r="AY346" s="35"/>
      <c r="AZ346" s="39">
        <f t="shared" si="1015"/>
        <v>34</v>
      </c>
      <c r="BA346" s="35"/>
      <c r="BB346" s="35"/>
      <c r="BC346" s="35"/>
      <c r="BD346" s="39">
        <f t="shared" si="1016"/>
        <v>34</v>
      </c>
      <c r="BE346" s="35"/>
      <c r="BF346" s="35"/>
      <c r="BG346" s="35"/>
      <c r="BH346" s="39">
        <f t="shared" si="1017"/>
        <v>34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36" t="s">
        <v>279</v>
      </c>
      <c r="C347" s="36">
        <v>30.0</v>
      </c>
      <c r="D347" s="36"/>
      <c r="E347" s="35">
        <v>21.0</v>
      </c>
      <c r="F347" s="35">
        <f t="shared" si="1003"/>
        <v>22</v>
      </c>
      <c r="G347" s="63">
        <f t="shared" si="1004"/>
        <v>0.8181818182</v>
      </c>
      <c r="H347" s="35">
        <v>11.0</v>
      </c>
      <c r="I347" s="39">
        <f t="shared" si="1005"/>
        <v>11</v>
      </c>
      <c r="J347" s="35"/>
      <c r="K347" s="35">
        <v>2025.0</v>
      </c>
      <c r="L347" s="21">
        <v>2025.0</v>
      </c>
      <c r="M347" s="35"/>
      <c r="N347" s="35"/>
      <c r="O347" s="35"/>
      <c r="P347" s="39">
        <f t="shared" si="1006"/>
        <v>11</v>
      </c>
      <c r="Q347" s="35"/>
      <c r="R347" s="35"/>
      <c r="S347" s="35"/>
      <c r="T347" s="39">
        <f t="shared" si="1007"/>
        <v>11</v>
      </c>
      <c r="U347" s="35"/>
      <c r="V347" s="35"/>
      <c r="W347" s="35"/>
      <c r="X347" s="39">
        <f t="shared" si="1008"/>
        <v>11</v>
      </c>
      <c r="Y347" s="35"/>
      <c r="Z347" s="35"/>
      <c r="AA347" s="35"/>
      <c r="AB347" s="39">
        <f t="shared" si="1009"/>
        <v>11</v>
      </c>
      <c r="AC347" s="35"/>
      <c r="AD347" s="35"/>
      <c r="AE347" s="35"/>
      <c r="AF347" s="39">
        <f t="shared" si="1010"/>
        <v>11</v>
      </c>
      <c r="AG347" s="35"/>
      <c r="AH347" s="35">
        <v>4.0</v>
      </c>
      <c r="AI347" s="35"/>
      <c r="AJ347" s="39">
        <f t="shared" si="1011"/>
        <v>15</v>
      </c>
      <c r="AK347" s="35"/>
      <c r="AL347" s="35"/>
      <c r="AM347" s="35"/>
      <c r="AN347" s="39">
        <f t="shared" si="1012"/>
        <v>15</v>
      </c>
      <c r="AO347" s="35"/>
      <c r="AP347" s="41">
        <v>2.0</v>
      </c>
      <c r="AQ347" s="41">
        <v>1.0</v>
      </c>
      <c r="AR347" s="39">
        <f t="shared" si="1013"/>
        <v>18</v>
      </c>
      <c r="AS347" s="35"/>
      <c r="AT347" s="35"/>
      <c r="AU347" s="35"/>
      <c r="AV347" s="39">
        <f t="shared" si="1014"/>
        <v>18</v>
      </c>
      <c r="AW347" s="35"/>
      <c r="AX347" s="35"/>
      <c r="AY347" s="35"/>
      <c r="AZ347" s="39">
        <f t="shared" si="1015"/>
        <v>18</v>
      </c>
      <c r="BA347" s="35"/>
      <c r="BB347" s="35"/>
      <c r="BC347" s="35"/>
      <c r="BD347" s="39">
        <f t="shared" si="1016"/>
        <v>18</v>
      </c>
      <c r="BE347" s="35"/>
      <c r="BF347" s="35"/>
      <c r="BG347" s="35"/>
      <c r="BH347" s="39">
        <f t="shared" si="1017"/>
        <v>18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>
      <c r="A348" s="35"/>
      <c r="B348" s="36" t="s">
        <v>280</v>
      </c>
      <c r="C348" s="36">
        <v>33.0</v>
      </c>
      <c r="D348" s="36"/>
      <c r="E348" s="35">
        <v>46.0</v>
      </c>
      <c r="F348" s="35">
        <f t="shared" si="1003"/>
        <v>47</v>
      </c>
      <c r="G348" s="63">
        <f t="shared" si="1004"/>
        <v>0.9574468085</v>
      </c>
      <c r="H348" s="35">
        <v>28.0</v>
      </c>
      <c r="I348" s="39">
        <f t="shared" si="1005"/>
        <v>28</v>
      </c>
      <c r="J348" s="35"/>
      <c r="K348" s="35">
        <v>2025.0</v>
      </c>
      <c r="L348" s="21">
        <v>2025.0</v>
      </c>
      <c r="M348" s="35"/>
      <c r="N348" s="35"/>
      <c r="O348" s="35"/>
      <c r="P348" s="39">
        <f t="shared" si="1006"/>
        <v>28</v>
      </c>
      <c r="Q348" s="35"/>
      <c r="R348" s="35"/>
      <c r="S348" s="35"/>
      <c r="T348" s="39">
        <f t="shared" si="1007"/>
        <v>28</v>
      </c>
      <c r="U348" s="35"/>
      <c r="V348" s="35"/>
      <c r="W348" s="35"/>
      <c r="X348" s="39">
        <f t="shared" si="1008"/>
        <v>28</v>
      </c>
      <c r="Y348" s="35"/>
      <c r="Z348" s="35"/>
      <c r="AA348" s="35"/>
      <c r="AB348" s="39">
        <f t="shared" si="1009"/>
        <v>28</v>
      </c>
      <c r="AC348" s="35"/>
      <c r="AD348" s="35"/>
      <c r="AE348" s="35"/>
      <c r="AF348" s="39">
        <f t="shared" si="1010"/>
        <v>28</v>
      </c>
      <c r="AG348" s="35"/>
      <c r="AH348" s="35"/>
      <c r="AI348" s="35"/>
      <c r="AJ348" s="39">
        <f t="shared" si="1011"/>
        <v>28</v>
      </c>
      <c r="AK348" s="35"/>
      <c r="AL348" s="41">
        <v>14.0</v>
      </c>
      <c r="AM348" s="41">
        <v>3.0</v>
      </c>
      <c r="AN348" s="39">
        <f t="shared" si="1012"/>
        <v>45</v>
      </c>
      <c r="AO348" s="35"/>
      <c r="AP348" s="41"/>
      <c r="AQ348" s="41"/>
      <c r="AR348" s="39">
        <f t="shared" si="1013"/>
        <v>45</v>
      </c>
      <c r="AS348" s="35"/>
      <c r="AT348" s="35"/>
      <c r="AU348" s="35"/>
      <c r="AV348" s="39">
        <f t="shared" si="1014"/>
        <v>45</v>
      </c>
      <c r="AW348" s="35"/>
      <c r="AX348" s="35"/>
      <c r="AY348" s="35"/>
      <c r="AZ348" s="39">
        <f t="shared" si="1015"/>
        <v>45</v>
      </c>
      <c r="BA348" s="35"/>
      <c r="BB348" s="35"/>
      <c r="BC348" s="35"/>
      <c r="BD348" s="39">
        <f t="shared" si="1016"/>
        <v>45</v>
      </c>
      <c r="BE348" s="35"/>
      <c r="BF348" s="35"/>
      <c r="BG348" s="35"/>
      <c r="BH348" s="39">
        <f t="shared" si="1017"/>
        <v>45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>
      <c r="A349" s="35"/>
      <c r="B349" s="116" t="s">
        <v>281</v>
      </c>
      <c r="C349" s="36">
        <v>44.0</v>
      </c>
      <c r="D349" s="36">
        <v>6495.0</v>
      </c>
      <c r="E349" s="35">
        <v>26.0</v>
      </c>
      <c r="F349" s="35">
        <f t="shared" si="1003"/>
        <v>27</v>
      </c>
      <c r="G349" s="63">
        <f t="shared" si="1004"/>
        <v>0.962962963</v>
      </c>
      <c r="H349" s="35">
        <v>19.0</v>
      </c>
      <c r="I349" s="39">
        <f t="shared" si="1005"/>
        <v>19</v>
      </c>
      <c r="J349" s="35"/>
      <c r="K349" s="35">
        <v>2025.0</v>
      </c>
      <c r="L349" s="21">
        <v>2025.0</v>
      </c>
      <c r="M349" s="35"/>
      <c r="N349" s="35">
        <v>6.0</v>
      </c>
      <c r="O349" s="35"/>
      <c r="P349" s="39">
        <f t="shared" si="1006"/>
        <v>25</v>
      </c>
      <c r="Q349" s="35"/>
      <c r="R349" s="35">
        <v>1.0</v>
      </c>
      <c r="S349" s="35"/>
      <c r="T349" s="39">
        <f t="shared" si="1007"/>
        <v>26</v>
      </c>
      <c r="U349" s="35"/>
      <c r="V349" s="35"/>
      <c r="W349" s="35"/>
      <c r="X349" s="39">
        <f t="shared" si="1008"/>
        <v>26</v>
      </c>
      <c r="Y349" s="35"/>
      <c r="Z349" s="35"/>
      <c r="AA349" s="35"/>
      <c r="AB349" s="39">
        <f t="shared" si="1009"/>
        <v>26</v>
      </c>
      <c r="AC349" s="35"/>
      <c r="AD349" s="35"/>
      <c r="AE349" s="35"/>
      <c r="AF349" s="39">
        <f t="shared" si="1010"/>
        <v>26</v>
      </c>
      <c r="AG349" s="35"/>
      <c r="AH349" s="35"/>
      <c r="AI349" s="35"/>
      <c r="AJ349" s="39">
        <f t="shared" si="1011"/>
        <v>26</v>
      </c>
      <c r="AK349" s="35"/>
      <c r="AL349" s="35"/>
      <c r="AM349" s="35"/>
      <c r="AN349" s="39">
        <f t="shared" si="1012"/>
        <v>26</v>
      </c>
      <c r="AO349" s="35"/>
      <c r="AP349" s="35"/>
      <c r="AQ349" s="35"/>
      <c r="AR349" s="39">
        <f t="shared" si="1013"/>
        <v>26</v>
      </c>
      <c r="AS349" s="35"/>
      <c r="AT349" s="35"/>
      <c r="AU349" s="35"/>
      <c r="AV349" s="39">
        <f t="shared" si="1014"/>
        <v>26</v>
      </c>
      <c r="AW349" s="35"/>
      <c r="AX349" s="35"/>
      <c r="AY349" s="35"/>
      <c r="AZ349" s="39">
        <f t="shared" si="1015"/>
        <v>26</v>
      </c>
      <c r="BA349" s="35"/>
      <c r="BB349" s="35"/>
      <c r="BC349" s="35"/>
      <c r="BD349" s="39">
        <f t="shared" si="1016"/>
        <v>26</v>
      </c>
      <c r="BE349" s="35"/>
      <c r="BF349" s="35"/>
      <c r="BG349" s="35"/>
      <c r="BH349" s="39">
        <f t="shared" si="1017"/>
        <v>26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282</v>
      </c>
      <c r="C350" s="36">
        <v>45.0</v>
      </c>
      <c r="D350" s="36">
        <v>2493.0</v>
      </c>
      <c r="E350" s="35">
        <v>72.0</v>
      </c>
      <c r="F350" s="35">
        <f t="shared" si="1003"/>
        <v>73</v>
      </c>
      <c r="G350" s="63">
        <f t="shared" si="1004"/>
        <v>1.04109589</v>
      </c>
      <c r="H350" s="35">
        <v>51.0</v>
      </c>
      <c r="I350" s="39">
        <f t="shared" si="1005"/>
        <v>60</v>
      </c>
      <c r="J350" s="41">
        <v>9.0</v>
      </c>
      <c r="K350" s="35">
        <v>2027.0</v>
      </c>
      <c r="L350" s="21">
        <v>2025.0</v>
      </c>
      <c r="M350" s="35"/>
      <c r="N350" s="35"/>
      <c r="O350" s="35"/>
      <c r="P350" s="39">
        <f t="shared" si="1006"/>
        <v>51</v>
      </c>
      <c r="Q350" s="35"/>
      <c r="R350" s="35"/>
      <c r="S350" s="35"/>
      <c r="T350" s="39">
        <f t="shared" si="1007"/>
        <v>51</v>
      </c>
      <c r="U350" s="35">
        <v>1.0</v>
      </c>
      <c r="V350" s="35">
        <v>5.0</v>
      </c>
      <c r="W350" s="35"/>
      <c r="X350" s="39">
        <f t="shared" si="1008"/>
        <v>57</v>
      </c>
      <c r="Y350" s="35"/>
      <c r="Z350" s="35"/>
      <c r="AA350" s="35"/>
      <c r="AB350" s="39">
        <f t="shared" si="1009"/>
        <v>57</v>
      </c>
      <c r="AC350" s="35"/>
      <c r="AD350" s="35"/>
      <c r="AE350" s="35"/>
      <c r="AF350" s="39">
        <f t="shared" si="1010"/>
        <v>57</v>
      </c>
      <c r="AG350" s="35">
        <v>4.0</v>
      </c>
      <c r="AH350" s="35"/>
      <c r="AI350" s="35"/>
      <c r="AJ350" s="39">
        <f t="shared" si="1011"/>
        <v>61</v>
      </c>
      <c r="AK350" s="35"/>
      <c r="AL350" s="35"/>
      <c r="AM350" s="35"/>
      <c r="AN350" s="39">
        <f t="shared" si="1012"/>
        <v>61</v>
      </c>
      <c r="AO350" s="41">
        <v>7.0</v>
      </c>
      <c r="AP350" s="41">
        <v>8.0</v>
      </c>
      <c r="AQ350" s="35"/>
      <c r="AR350" s="39">
        <f t="shared" si="1013"/>
        <v>76</v>
      </c>
      <c r="AS350" s="35"/>
      <c r="AT350" s="35"/>
      <c r="AU350" s="35"/>
      <c r="AV350" s="39">
        <f t="shared" si="1014"/>
        <v>76</v>
      </c>
      <c r="AW350" s="35"/>
      <c r="AX350" s="35"/>
      <c r="AY350" s="35"/>
      <c r="AZ350" s="39">
        <f t="shared" si="1015"/>
        <v>76</v>
      </c>
      <c r="BA350" s="35"/>
      <c r="BB350" s="35"/>
      <c r="BC350" s="35"/>
      <c r="BD350" s="39">
        <f t="shared" si="1016"/>
        <v>76</v>
      </c>
      <c r="BE350" s="35"/>
      <c r="BF350" s="35"/>
      <c r="BG350" s="35"/>
      <c r="BH350" s="39">
        <f t="shared" si="1017"/>
        <v>76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283</v>
      </c>
      <c r="C351" s="36">
        <v>58.0</v>
      </c>
      <c r="D351" s="36">
        <v>3450.0</v>
      </c>
      <c r="E351" s="35">
        <v>13.0</v>
      </c>
      <c r="F351" s="35">
        <f t="shared" si="1003"/>
        <v>14</v>
      </c>
      <c r="G351" s="63">
        <f t="shared" si="1004"/>
        <v>0.7857142857</v>
      </c>
      <c r="H351" s="35">
        <v>9.0</v>
      </c>
      <c r="I351" s="39">
        <f t="shared" si="1005"/>
        <v>9</v>
      </c>
      <c r="J351" s="35"/>
      <c r="K351" s="35">
        <v>2025.0</v>
      </c>
      <c r="L351" s="21">
        <v>2025.0</v>
      </c>
      <c r="M351" s="35"/>
      <c r="N351" s="35">
        <v>1.0</v>
      </c>
      <c r="O351" s="35"/>
      <c r="P351" s="39">
        <f t="shared" si="1006"/>
        <v>10</v>
      </c>
      <c r="Q351" s="35"/>
      <c r="R351" s="35"/>
      <c r="S351" s="35"/>
      <c r="T351" s="39">
        <f t="shared" si="1007"/>
        <v>10</v>
      </c>
      <c r="U351" s="35"/>
      <c r="V351" s="35"/>
      <c r="W351" s="35"/>
      <c r="X351" s="39">
        <f t="shared" si="1008"/>
        <v>10</v>
      </c>
      <c r="Y351" s="35"/>
      <c r="Z351" s="35"/>
      <c r="AA351" s="35"/>
      <c r="AB351" s="39">
        <f t="shared" si="1009"/>
        <v>10</v>
      </c>
      <c r="AC351" s="35"/>
      <c r="AD351" s="35"/>
      <c r="AE351" s="35"/>
      <c r="AF351" s="39">
        <f t="shared" si="1010"/>
        <v>10</v>
      </c>
      <c r="AG351" s="35"/>
      <c r="AH351" s="35"/>
      <c r="AI351" s="35"/>
      <c r="AJ351" s="39">
        <f t="shared" si="1011"/>
        <v>10</v>
      </c>
      <c r="AK351" s="35"/>
      <c r="AL351" s="35"/>
      <c r="AM351" s="35"/>
      <c r="AN351" s="39">
        <f t="shared" si="1012"/>
        <v>10</v>
      </c>
      <c r="AO351" s="35"/>
      <c r="AP351" s="35"/>
      <c r="AQ351" s="41">
        <v>1.0</v>
      </c>
      <c r="AR351" s="39">
        <f t="shared" si="1013"/>
        <v>11</v>
      </c>
      <c r="AS351" s="35"/>
      <c r="AT351" s="35"/>
      <c r="AU351" s="35"/>
      <c r="AV351" s="39">
        <f t="shared" si="1014"/>
        <v>11</v>
      </c>
      <c r="AW351" s="35"/>
      <c r="AX351" s="35"/>
      <c r="AY351" s="35"/>
      <c r="AZ351" s="39">
        <f t="shared" si="1015"/>
        <v>11</v>
      </c>
      <c r="BA351" s="35"/>
      <c r="BB351" s="35"/>
      <c r="BC351" s="35"/>
      <c r="BD351" s="39">
        <f t="shared" si="1016"/>
        <v>11</v>
      </c>
      <c r="BE351" s="35"/>
      <c r="BF351" s="35"/>
      <c r="BG351" s="35"/>
      <c r="BH351" s="39">
        <f t="shared" si="1017"/>
        <v>11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36" t="s">
        <v>284</v>
      </c>
      <c r="C352" s="36">
        <v>59.0</v>
      </c>
      <c r="D352" s="36">
        <v>554.0</v>
      </c>
      <c r="E352" s="35">
        <v>40.0</v>
      </c>
      <c r="F352" s="35">
        <f t="shared" si="1003"/>
        <v>41</v>
      </c>
      <c r="G352" s="63">
        <f t="shared" si="1004"/>
        <v>1.024390244</v>
      </c>
      <c r="H352" s="35">
        <v>11.0</v>
      </c>
      <c r="I352" s="39">
        <f t="shared" si="1005"/>
        <v>11</v>
      </c>
      <c r="J352" s="35"/>
      <c r="K352" s="35">
        <v>2025.0</v>
      </c>
      <c r="L352" s="21">
        <v>2025.0</v>
      </c>
      <c r="M352" s="35">
        <v>1.0</v>
      </c>
      <c r="N352" s="35">
        <v>28.0</v>
      </c>
      <c r="O352" s="35"/>
      <c r="P352" s="39">
        <f t="shared" si="1006"/>
        <v>40</v>
      </c>
      <c r="Q352" s="35">
        <v>1.0</v>
      </c>
      <c r="R352" s="35"/>
      <c r="S352" s="35"/>
      <c r="T352" s="39">
        <f t="shared" si="1007"/>
        <v>41</v>
      </c>
      <c r="U352" s="35"/>
      <c r="V352" s="35"/>
      <c r="W352" s="35"/>
      <c r="X352" s="39">
        <f t="shared" si="1008"/>
        <v>41</v>
      </c>
      <c r="Y352" s="35"/>
      <c r="Z352" s="35"/>
      <c r="AA352" s="35"/>
      <c r="AB352" s="39">
        <f t="shared" si="1009"/>
        <v>41</v>
      </c>
      <c r="AC352" s="35"/>
      <c r="AD352" s="35"/>
      <c r="AE352" s="35"/>
      <c r="AF352" s="39">
        <f t="shared" si="1010"/>
        <v>41</v>
      </c>
      <c r="AG352" s="35"/>
      <c r="AH352" s="35"/>
      <c r="AI352" s="35"/>
      <c r="AJ352" s="39">
        <f t="shared" si="1011"/>
        <v>41</v>
      </c>
      <c r="AK352" s="35"/>
      <c r="AL352" s="35"/>
      <c r="AM352" s="35"/>
      <c r="AN352" s="39">
        <f t="shared" si="1012"/>
        <v>41</v>
      </c>
      <c r="AO352" s="41">
        <v>1.0</v>
      </c>
      <c r="AP352" s="35"/>
      <c r="AQ352" s="35"/>
      <c r="AR352" s="39">
        <f t="shared" si="1013"/>
        <v>42</v>
      </c>
      <c r="AS352" s="35"/>
      <c r="AT352" s="35"/>
      <c r="AU352" s="35"/>
      <c r="AV352" s="39">
        <f t="shared" si="1014"/>
        <v>42</v>
      </c>
      <c r="AW352" s="35"/>
      <c r="AX352" s="35"/>
      <c r="AY352" s="35"/>
      <c r="AZ352" s="39">
        <f t="shared" si="1015"/>
        <v>42</v>
      </c>
      <c r="BA352" s="35"/>
      <c r="BB352" s="35"/>
      <c r="BC352" s="35"/>
      <c r="BD352" s="39">
        <f t="shared" si="1016"/>
        <v>42</v>
      </c>
      <c r="BE352" s="35"/>
      <c r="BF352" s="35"/>
      <c r="BG352" s="35"/>
      <c r="BH352" s="39">
        <f t="shared" si="1017"/>
        <v>42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36" t="s">
        <v>285</v>
      </c>
      <c r="C353" s="36">
        <v>72.0</v>
      </c>
      <c r="D353" s="36">
        <v>1599.0</v>
      </c>
      <c r="E353" s="35">
        <v>22.0</v>
      </c>
      <c r="F353" s="35">
        <f t="shared" si="1003"/>
        <v>23</v>
      </c>
      <c r="G353" s="63">
        <f t="shared" si="1004"/>
        <v>1</v>
      </c>
      <c r="H353" s="35">
        <v>6.0</v>
      </c>
      <c r="I353" s="39">
        <f t="shared" si="1005"/>
        <v>6</v>
      </c>
      <c r="J353" s="35"/>
      <c r="K353" s="35" t="s">
        <v>286</v>
      </c>
      <c r="L353" s="21">
        <v>2025.0</v>
      </c>
      <c r="M353" s="35"/>
      <c r="N353" s="35">
        <v>16.0</v>
      </c>
      <c r="O353" s="35"/>
      <c r="P353" s="39">
        <f t="shared" si="1006"/>
        <v>22</v>
      </c>
      <c r="Q353" s="35"/>
      <c r="R353" s="35"/>
      <c r="S353" s="35"/>
      <c r="T353" s="39">
        <f t="shared" si="1007"/>
        <v>22</v>
      </c>
      <c r="U353" s="35"/>
      <c r="V353" s="35"/>
      <c r="W353" s="35"/>
      <c r="X353" s="39">
        <f t="shared" si="1008"/>
        <v>22</v>
      </c>
      <c r="Y353" s="35"/>
      <c r="Z353" s="35"/>
      <c r="AA353" s="35"/>
      <c r="AB353" s="39">
        <f t="shared" si="1009"/>
        <v>22</v>
      </c>
      <c r="AC353" s="35"/>
      <c r="AD353" s="35"/>
      <c r="AE353" s="35"/>
      <c r="AF353" s="39">
        <f t="shared" si="1010"/>
        <v>22</v>
      </c>
      <c r="AG353" s="35"/>
      <c r="AH353" s="35"/>
      <c r="AI353" s="35"/>
      <c r="AJ353" s="39">
        <f t="shared" si="1011"/>
        <v>22</v>
      </c>
      <c r="AK353" s="35">
        <v>1.0</v>
      </c>
      <c r="AL353" s="35"/>
      <c r="AM353" s="35"/>
      <c r="AN353" s="39">
        <f t="shared" si="1012"/>
        <v>23</v>
      </c>
      <c r="AO353" s="35"/>
      <c r="AP353" s="35"/>
      <c r="AQ353" s="35"/>
      <c r="AR353" s="39">
        <f t="shared" si="1013"/>
        <v>23</v>
      </c>
      <c r="AS353" s="35"/>
      <c r="AT353" s="35"/>
      <c r="AU353" s="35"/>
      <c r="AV353" s="39">
        <f t="shared" si="1014"/>
        <v>23</v>
      </c>
      <c r="AW353" s="35"/>
      <c r="AX353" s="35"/>
      <c r="AY353" s="35"/>
      <c r="AZ353" s="39">
        <f t="shared" si="1015"/>
        <v>23</v>
      </c>
      <c r="BA353" s="35"/>
      <c r="BB353" s="35"/>
      <c r="BC353" s="35"/>
      <c r="BD353" s="39">
        <f t="shared" si="1016"/>
        <v>23</v>
      </c>
      <c r="BE353" s="35"/>
      <c r="BF353" s="35"/>
      <c r="BG353" s="35"/>
      <c r="BH353" s="39">
        <f t="shared" si="1017"/>
        <v>23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35"/>
      <c r="B354" s="49" t="s">
        <v>287</v>
      </c>
      <c r="C354" s="49">
        <v>92.0</v>
      </c>
      <c r="D354" s="49">
        <v>7415.0</v>
      </c>
      <c r="E354" s="21">
        <v>24.0</v>
      </c>
      <c r="F354" s="35">
        <f t="shared" si="1003"/>
        <v>25</v>
      </c>
      <c r="G354" s="22">
        <f t="shared" si="1004"/>
        <v>0.96</v>
      </c>
      <c r="H354" s="21">
        <v>24.0</v>
      </c>
      <c r="I354" s="25">
        <f t="shared" si="1005"/>
        <v>24</v>
      </c>
      <c r="J354" s="21"/>
      <c r="K354" s="21">
        <v>2027.0</v>
      </c>
      <c r="L354" s="21">
        <v>2025.0</v>
      </c>
      <c r="M354" s="21"/>
      <c r="N354" s="21"/>
      <c r="O354" s="21"/>
      <c r="P354" s="25">
        <f t="shared" si="1006"/>
        <v>24</v>
      </c>
      <c r="Q354" s="21"/>
      <c r="R354" s="21"/>
      <c r="S354" s="21"/>
      <c r="T354" s="25">
        <f t="shared" si="1007"/>
        <v>24</v>
      </c>
      <c r="U354" s="21"/>
      <c r="V354" s="21"/>
      <c r="W354" s="21"/>
      <c r="X354" s="25">
        <f t="shared" si="1008"/>
        <v>24</v>
      </c>
      <c r="Y354" s="21"/>
      <c r="Z354" s="21"/>
      <c r="AA354" s="21"/>
      <c r="AB354" s="25">
        <f t="shared" si="1009"/>
        <v>24</v>
      </c>
      <c r="AC354" s="21"/>
      <c r="AD354" s="21"/>
      <c r="AE354" s="21"/>
      <c r="AF354" s="25">
        <f t="shared" si="1010"/>
        <v>24</v>
      </c>
      <c r="AG354" s="21"/>
      <c r="AH354" s="21"/>
      <c r="AI354" s="21"/>
      <c r="AJ354" s="25">
        <f t="shared" si="1011"/>
        <v>24</v>
      </c>
      <c r="AK354" s="21"/>
      <c r="AL354" s="21"/>
      <c r="AM354" s="21"/>
      <c r="AN354" s="25">
        <f t="shared" si="1012"/>
        <v>24</v>
      </c>
      <c r="AO354" s="21"/>
      <c r="AP354" s="21"/>
      <c r="AQ354" s="21"/>
      <c r="AR354" s="25">
        <f t="shared" si="1013"/>
        <v>24</v>
      </c>
      <c r="AS354" s="21"/>
      <c r="AT354" s="21"/>
      <c r="AU354" s="21"/>
      <c r="AV354" s="25">
        <f t="shared" si="1014"/>
        <v>24</v>
      </c>
      <c r="AW354" s="21"/>
      <c r="AX354" s="21"/>
      <c r="AY354" s="21"/>
      <c r="AZ354" s="25">
        <f t="shared" si="1015"/>
        <v>24</v>
      </c>
      <c r="BA354" s="21"/>
      <c r="BB354" s="21"/>
      <c r="BC354" s="21"/>
      <c r="BD354" s="25">
        <f t="shared" si="1016"/>
        <v>24</v>
      </c>
      <c r="BE354" s="21"/>
      <c r="BF354" s="21"/>
      <c r="BG354" s="21"/>
      <c r="BH354" s="25">
        <f t="shared" si="1017"/>
        <v>24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35"/>
      <c r="B355" s="49" t="s">
        <v>288</v>
      </c>
      <c r="C355" s="49">
        <v>99.0</v>
      </c>
      <c r="D355" s="49"/>
      <c r="E355" s="21">
        <v>41.0</v>
      </c>
      <c r="F355" s="35">
        <f t="shared" si="1003"/>
        <v>42</v>
      </c>
      <c r="G355" s="22">
        <f t="shared" si="1004"/>
        <v>1.047619048</v>
      </c>
      <c r="H355" s="21">
        <v>23.0</v>
      </c>
      <c r="I355" s="25">
        <f t="shared" si="1005"/>
        <v>23</v>
      </c>
      <c r="J355" s="21"/>
      <c r="K355" s="21">
        <v>2025.0</v>
      </c>
      <c r="L355" s="21">
        <v>2025.0</v>
      </c>
      <c r="M355" s="21"/>
      <c r="N355" s="21"/>
      <c r="O355" s="21"/>
      <c r="P355" s="25">
        <f t="shared" si="1006"/>
        <v>23</v>
      </c>
      <c r="Q355" s="21"/>
      <c r="R355" s="21"/>
      <c r="S355" s="21"/>
      <c r="T355" s="25">
        <f t="shared" si="1007"/>
        <v>23</v>
      </c>
      <c r="U355" s="21"/>
      <c r="V355" s="21"/>
      <c r="W355" s="21"/>
      <c r="X355" s="25">
        <f t="shared" si="1008"/>
        <v>23</v>
      </c>
      <c r="Y355" s="21"/>
      <c r="Z355" s="21"/>
      <c r="AA355" s="21"/>
      <c r="AB355" s="25">
        <f t="shared" si="1009"/>
        <v>23</v>
      </c>
      <c r="AC355" s="21"/>
      <c r="AD355" s="21"/>
      <c r="AE355" s="21"/>
      <c r="AF355" s="25">
        <f t="shared" si="1010"/>
        <v>23</v>
      </c>
      <c r="AG355" s="21"/>
      <c r="AH355" s="21"/>
      <c r="AI355" s="21"/>
      <c r="AJ355" s="25">
        <f t="shared" si="1011"/>
        <v>23</v>
      </c>
      <c r="AK355" s="21"/>
      <c r="AL355" s="21"/>
      <c r="AM355" s="21"/>
      <c r="AN355" s="25">
        <f t="shared" si="1012"/>
        <v>23</v>
      </c>
      <c r="AO355" s="21"/>
      <c r="AP355" s="21"/>
      <c r="AQ355" s="21"/>
      <c r="AR355" s="25">
        <f t="shared" si="1013"/>
        <v>23</v>
      </c>
      <c r="AS355" s="18">
        <v>3.0</v>
      </c>
      <c r="AT355" s="18">
        <v>18.0</v>
      </c>
      <c r="AU355" s="21"/>
      <c r="AV355" s="25">
        <f t="shared" si="1014"/>
        <v>44</v>
      </c>
      <c r="AW355" s="21"/>
      <c r="AX355" s="21"/>
      <c r="AY355" s="21"/>
      <c r="AZ355" s="25">
        <f t="shared" si="1015"/>
        <v>44</v>
      </c>
      <c r="BA355" s="21"/>
      <c r="BB355" s="21"/>
      <c r="BC355" s="21"/>
      <c r="BD355" s="25">
        <f t="shared" si="1016"/>
        <v>44</v>
      </c>
      <c r="BE355" s="21"/>
      <c r="BF355" s="21"/>
      <c r="BG355" s="21"/>
      <c r="BH355" s="25">
        <f t="shared" si="1017"/>
        <v>44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>
        <f t="shared" ref="M356:BH356" si="1018">SUM(M344:M355)</f>
        <v>4</v>
      </c>
      <c r="N356" s="21">
        <f t="shared" si="1018"/>
        <v>69</v>
      </c>
      <c r="O356" s="21">
        <f t="shared" si="1018"/>
        <v>0</v>
      </c>
      <c r="P356" s="25">
        <f t="shared" si="1018"/>
        <v>278</v>
      </c>
      <c r="Q356" s="21">
        <f t="shared" si="1018"/>
        <v>1</v>
      </c>
      <c r="R356" s="21">
        <f t="shared" si="1018"/>
        <v>2</v>
      </c>
      <c r="S356" s="21">
        <f t="shared" si="1018"/>
        <v>0</v>
      </c>
      <c r="T356" s="25">
        <f t="shared" si="1018"/>
        <v>281</v>
      </c>
      <c r="U356" s="21">
        <f t="shared" si="1018"/>
        <v>1</v>
      </c>
      <c r="V356" s="21">
        <f t="shared" si="1018"/>
        <v>5</v>
      </c>
      <c r="W356" s="21">
        <f t="shared" si="1018"/>
        <v>0</v>
      </c>
      <c r="X356" s="21">
        <f t="shared" si="1018"/>
        <v>287</v>
      </c>
      <c r="Y356" s="21">
        <f t="shared" si="1018"/>
        <v>0</v>
      </c>
      <c r="Z356" s="21">
        <f t="shared" si="1018"/>
        <v>0</v>
      </c>
      <c r="AA356" s="21">
        <f t="shared" si="1018"/>
        <v>0</v>
      </c>
      <c r="AB356" s="21">
        <f t="shared" si="1018"/>
        <v>287</v>
      </c>
      <c r="AC356" s="21">
        <f t="shared" si="1018"/>
        <v>0</v>
      </c>
      <c r="AD356" s="21">
        <f t="shared" si="1018"/>
        <v>0</v>
      </c>
      <c r="AE356" s="21">
        <f t="shared" si="1018"/>
        <v>0</v>
      </c>
      <c r="AF356" s="21">
        <f t="shared" si="1018"/>
        <v>287</v>
      </c>
      <c r="AG356" s="21">
        <f t="shared" si="1018"/>
        <v>8</v>
      </c>
      <c r="AH356" s="21">
        <f t="shared" si="1018"/>
        <v>4</v>
      </c>
      <c r="AI356" s="21">
        <f t="shared" si="1018"/>
        <v>0</v>
      </c>
      <c r="AJ356" s="21">
        <f t="shared" si="1018"/>
        <v>299</v>
      </c>
      <c r="AK356" s="21">
        <f t="shared" si="1018"/>
        <v>1</v>
      </c>
      <c r="AL356" s="21">
        <f t="shared" si="1018"/>
        <v>14</v>
      </c>
      <c r="AM356" s="21">
        <f t="shared" si="1018"/>
        <v>3</v>
      </c>
      <c r="AN356" s="21">
        <f t="shared" si="1018"/>
        <v>317</v>
      </c>
      <c r="AO356" s="21">
        <f t="shared" si="1018"/>
        <v>8</v>
      </c>
      <c r="AP356" s="21">
        <f t="shared" si="1018"/>
        <v>11</v>
      </c>
      <c r="AQ356" s="21">
        <f t="shared" si="1018"/>
        <v>2</v>
      </c>
      <c r="AR356" s="21">
        <f t="shared" si="1018"/>
        <v>338</v>
      </c>
      <c r="AS356" s="21">
        <f t="shared" si="1018"/>
        <v>3</v>
      </c>
      <c r="AT356" s="21">
        <f t="shared" si="1018"/>
        <v>18</v>
      </c>
      <c r="AU356" s="21">
        <f t="shared" si="1018"/>
        <v>0</v>
      </c>
      <c r="AV356" s="21">
        <f t="shared" si="1018"/>
        <v>359</v>
      </c>
      <c r="AW356" s="21">
        <f t="shared" si="1018"/>
        <v>0</v>
      </c>
      <c r="AX356" s="21">
        <f t="shared" si="1018"/>
        <v>0</v>
      </c>
      <c r="AY356" s="21">
        <f t="shared" si="1018"/>
        <v>0</v>
      </c>
      <c r="AZ356" s="21">
        <f t="shared" si="1018"/>
        <v>359</v>
      </c>
      <c r="BA356" s="21">
        <f t="shared" si="1018"/>
        <v>0</v>
      </c>
      <c r="BB356" s="21">
        <f t="shared" si="1018"/>
        <v>0</v>
      </c>
      <c r="BC356" s="21">
        <f t="shared" si="1018"/>
        <v>0</v>
      </c>
      <c r="BD356" s="21">
        <f t="shared" si="1018"/>
        <v>359</v>
      </c>
      <c r="BE356" s="21">
        <f t="shared" si="1018"/>
        <v>0</v>
      </c>
      <c r="BF356" s="21">
        <f t="shared" si="1018"/>
        <v>0</v>
      </c>
      <c r="BG356" s="21">
        <f t="shared" si="1018"/>
        <v>0</v>
      </c>
      <c r="BH356" s="21">
        <f t="shared" si="1018"/>
        <v>359</v>
      </c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5.75" customHeight="1">
      <c r="A357" s="21"/>
      <c r="B357" s="21" t="s">
        <v>35</v>
      </c>
      <c r="C357" s="21">
        <f>COUNT(C345:C355)</f>
        <v>11</v>
      </c>
      <c r="D357" s="21"/>
      <c r="E357" s="21">
        <f>SUM(E344:E355)</f>
        <v>353</v>
      </c>
      <c r="F357" s="21">
        <f>SUM(E344:E355)+1</f>
        <v>354</v>
      </c>
      <c r="G357" s="22">
        <f>$BH356/F357</f>
        <v>1.014124294</v>
      </c>
      <c r="H357" s="21">
        <f t="shared" ref="H357:J357" si="1019">SUM(H344:H355)</f>
        <v>205</v>
      </c>
      <c r="I357" s="25">
        <f t="shared" si="1019"/>
        <v>214</v>
      </c>
      <c r="J357" s="21">
        <f t="shared" si="1019"/>
        <v>9</v>
      </c>
      <c r="K357" s="21"/>
      <c r="L357" s="21"/>
      <c r="M357" s="21"/>
      <c r="N357" s="21"/>
      <c r="O357" s="21"/>
      <c r="P357" s="22">
        <f>P356/F357</f>
        <v>0.7853107345</v>
      </c>
      <c r="Q357" s="21">
        <f t="shared" ref="Q357:S357" si="1020">M356+Q356</f>
        <v>5</v>
      </c>
      <c r="R357" s="21">
        <f t="shared" si="1020"/>
        <v>71</v>
      </c>
      <c r="S357" s="21">
        <f t="shared" si="1020"/>
        <v>0</v>
      </c>
      <c r="T357" s="22">
        <f>T356/F357</f>
        <v>0.7937853107</v>
      </c>
      <c r="U357" s="21">
        <f t="shared" ref="U357:W357" si="1021">Q357+U356</f>
        <v>6</v>
      </c>
      <c r="V357" s="21">
        <f t="shared" si="1021"/>
        <v>76</v>
      </c>
      <c r="W357" s="21">
        <f t="shared" si="1021"/>
        <v>0</v>
      </c>
      <c r="X357" s="22">
        <f>X356/F357</f>
        <v>0.8107344633</v>
      </c>
      <c r="Y357" s="21">
        <f t="shared" ref="Y357:AA357" si="1022">U357+Y356</f>
        <v>6</v>
      </c>
      <c r="Z357" s="21">
        <f t="shared" si="1022"/>
        <v>76</v>
      </c>
      <c r="AA357" s="21">
        <f t="shared" si="1022"/>
        <v>0</v>
      </c>
      <c r="AB357" s="22">
        <f>AB356/F357</f>
        <v>0.8107344633</v>
      </c>
      <c r="AC357" s="21">
        <f t="shared" ref="AC357:AE357" si="1023">Y357+AC356</f>
        <v>6</v>
      </c>
      <c r="AD357" s="21">
        <f t="shared" si="1023"/>
        <v>76</v>
      </c>
      <c r="AE357" s="21">
        <f t="shared" si="1023"/>
        <v>0</v>
      </c>
      <c r="AF357" s="22">
        <f>AF356/F357</f>
        <v>0.8107344633</v>
      </c>
      <c r="AG357" s="21">
        <f t="shared" ref="AG357:AI357" si="1024">AC357+AG356</f>
        <v>14</v>
      </c>
      <c r="AH357" s="21">
        <f t="shared" si="1024"/>
        <v>80</v>
      </c>
      <c r="AI357" s="21">
        <f t="shared" si="1024"/>
        <v>0</v>
      </c>
      <c r="AJ357" s="22">
        <f>AJ356/F357</f>
        <v>0.8446327684</v>
      </c>
      <c r="AK357" s="21">
        <f t="shared" ref="AK357:AM357" si="1025">AG357+AK356</f>
        <v>15</v>
      </c>
      <c r="AL357" s="21">
        <f t="shared" si="1025"/>
        <v>94</v>
      </c>
      <c r="AM357" s="21">
        <f t="shared" si="1025"/>
        <v>3</v>
      </c>
      <c r="AN357" s="22">
        <f>AN356/F357</f>
        <v>0.895480226</v>
      </c>
      <c r="AO357" s="21">
        <f t="shared" ref="AO357:AQ357" si="1026">AK357+AO356</f>
        <v>23</v>
      </c>
      <c r="AP357" s="21">
        <f t="shared" si="1026"/>
        <v>105</v>
      </c>
      <c r="AQ357" s="21">
        <f t="shared" si="1026"/>
        <v>5</v>
      </c>
      <c r="AR357" s="22">
        <f>AR356/F357</f>
        <v>0.9548022599</v>
      </c>
      <c r="AS357" s="21">
        <f t="shared" ref="AS357:AU357" si="1027">AO357+AS356</f>
        <v>26</v>
      </c>
      <c r="AT357" s="21">
        <f t="shared" si="1027"/>
        <v>123</v>
      </c>
      <c r="AU357" s="21">
        <f t="shared" si="1027"/>
        <v>5</v>
      </c>
      <c r="AV357" s="22">
        <f>AV356/F357</f>
        <v>1.014124294</v>
      </c>
      <c r="AW357" s="21">
        <f t="shared" ref="AW357:AY357" si="1028">AS357+AW356</f>
        <v>26</v>
      </c>
      <c r="AX357" s="21">
        <f t="shared" si="1028"/>
        <v>123</v>
      </c>
      <c r="AY357" s="21">
        <f t="shared" si="1028"/>
        <v>5</v>
      </c>
      <c r="AZ357" s="22">
        <f>AZ356/F357</f>
        <v>1.014124294</v>
      </c>
      <c r="BA357" s="21">
        <f t="shared" ref="BA357:BC357" si="1029">AW357+BA356</f>
        <v>26</v>
      </c>
      <c r="BB357" s="21">
        <f t="shared" si="1029"/>
        <v>123</v>
      </c>
      <c r="BC357" s="21">
        <f t="shared" si="1029"/>
        <v>5</v>
      </c>
      <c r="BD357" s="22">
        <f>BD356/F357</f>
        <v>1.014124294</v>
      </c>
      <c r="BE357" s="21">
        <f t="shared" ref="BE357:BG357" si="1030">BA357+BE356</f>
        <v>26</v>
      </c>
      <c r="BF357" s="21">
        <f t="shared" si="1030"/>
        <v>123</v>
      </c>
      <c r="BG357" s="21">
        <f t="shared" si="1030"/>
        <v>5</v>
      </c>
      <c r="BH357" s="22">
        <f>BH356/F357</f>
        <v>1.014124294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 ht="16.5" customHeight="1">
      <c r="A358" s="27"/>
      <c r="B358" s="24"/>
      <c r="C358" s="24"/>
      <c r="D358" s="24"/>
      <c r="E358" s="136"/>
      <c r="F358" s="24"/>
      <c r="G358" s="28"/>
      <c r="H358" s="23"/>
      <c r="I358" s="23"/>
      <c r="J358" s="23"/>
      <c r="K358" s="24"/>
      <c r="L358" s="24"/>
      <c r="M358" s="24"/>
      <c r="N358" s="24"/>
      <c r="O358" s="24"/>
      <c r="P358" s="23"/>
      <c r="Q358" s="24"/>
      <c r="R358" s="24"/>
      <c r="S358" s="24"/>
      <c r="T358" s="21"/>
      <c r="U358" s="24"/>
      <c r="V358" s="24"/>
      <c r="W358" s="24"/>
      <c r="X358" s="21"/>
      <c r="Y358" s="24"/>
      <c r="Z358" s="24"/>
      <c r="AA358" s="24"/>
      <c r="AB358" s="21"/>
      <c r="AC358" s="24"/>
      <c r="AD358" s="24"/>
      <c r="AE358" s="24"/>
      <c r="AF358" s="21"/>
      <c r="AG358" s="24"/>
      <c r="AH358" s="24"/>
      <c r="AI358" s="24"/>
      <c r="AJ358" s="21"/>
      <c r="AK358" s="24"/>
      <c r="AL358" s="24"/>
      <c r="AM358" s="24"/>
      <c r="AN358" s="21"/>
      <c r="AO358" s="24"/>
      <c r="AP358" s="24"/>
      <c r="AQ358" s="24"/>
      <c r="AR358" s="21"/>
      <c r="AS358" s="24"/>
      <c r="AT358" s="24"/>
      <c r="AU358" s="24"/>
      <c r="AV358" s="21"/>
      <c r="AW358" s="24"/>
      <c r="AX358" s="24"/>
      <c r="AY358" s="24"/>
      <c r="AZ358" s="21"/>
      <c r="BA358" s="24"/>
      <c r="BB358" s="24"/>
      <c r="BC358" s="24"/>
      <c r="BD358" s="21"/>
      <c r="BE358" s="24"/>
      <c r="BF358" s="24"/>
      <c r="BG358" s="24"/>
      <c r="BH358" s="21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 ht="16.5" customHeight="1">
      <c r="A359" s="27" t="s">
        <v>289</v>
      </c>
      <c r="B359" s="24"/>
      <c r="C359" s="24"/>
      <c r="D359" s="24"/>
      <c r="E359" s="136"/>
      <c r="F359" s="24"/>
      <c r="G359" s="28"/>
      <c r="H359" s="23"/>
      <c r="I359" s="23"/>
      <c r="J359" s="23"/>
      <c r="K359" s="24">
        <v>2027.0</v>
      </c>
      <c r="L359" s="24">
        <v>2026.0</v>
      </c>
      <c r="M359" s="24"/>
      <c r="N359" s="24"/>
      <c r="O359" s="24"/>
      <c r="P359" s="23"/>
      <c r="Q359" s="24"/>
      <c r="R359" s="24"/>
      <c r="S359" s="24"/>
      <c r="T359" s="21"/>
      <c r="U359" s="24"/>
      <c r="V359" s="24"/>
      <c r="W359" s="24"/>
      <c r="X359" s="21"/>
      <c r="Y359" s="24"/>
      <c r="Z359" s="24"/>
      <c r="AA359" s="24"/>
      <c r="AB359" s="21"/>
      <c r="AC359" s="24"/>
      <c r="AD359" s="24"/>
      <c r="AE359" s="24"/>
      <c r="AF359" s="21"/>
      <c r="AG359" s="24"/>
      <c r="AH359" s="24"/>
      <c r="AI359" s="24"/>
      <c r="AJ359" s="21"/>
      <c r="AK359" s="24"/>
      <c r="AL359" s="24"/>
      <c r="AM359" s="24"/>
      <c r="AN359" s="21"/>
      <c r="AO359" s="24"/>
      <c r="AP359" s="24"/>
      <c r="AQ359" s="24"/>
      <c r="AR359" s="21"/>
      <c r="AS359" s="24"/>
      <c r="AT359" s="24"/>
      <c r="AU359" s="24"/>
      <c r="AV359" s="21"/>
      <c r="AW359" s="24"/>
      <c r="AX359" s="24"/>
      <c r="AY359" s="24"/>
      <c r="AZ359" s="21"/>
      <c r="BA359" s="24"/>
      <c r="BB359" s="24"/>
      <c r="BC359" s="24"/>
      <c r="BD359" s="21"/>
      <c r="BE359" s="24"/>
      <c r="BF359" s="24"/>
      <c r="BG359" s="24"/>
      <c r="BH359" s="21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116" t="s">
        <v>290</v>
      </c>
      <c r="C360" s="36">
        <v>1.0</v>
      </c>
      <c r="D360" s="36">
        <v>8760.0</v>
      </c>
      <c r="E360" s="36">
        <v>41.0</v>
      </c>
      <c r="F360" s="35">
        <f t="shared" ref="F360:F365" si="1031">E360+1</f>
        <v>42</v>
      </c>
      <c r="G360" s="37">
        <f t="shared" ref="G360:G365" si="1032">$BH360/F360</f>
        <v>0.9761904762</v>
      </c>
      <c r="H360" s="38">
        <v>33.0</v>
      </c>
      <c r="I360" s="38">
        <f t="shared" ref="I360:I365" si="1033">+H360+J360</f>
        <v>33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ref="P360:P365" si="1034">SUM(M360:O360)+H360</f>
        <v>33</v>
      </c>
      <c r="Q360" s="35"/>
      <c r="R360" s="35"/>
      <c r="S360" s="35"/>
      <c r="T360" s="39">
        <f t="shared" ref="T360:T365" si="1035">SUM(P360:S360)</f>
        <v>33</v>
      </c>
      <c r="U360" s="35"/>
      <c r="V360" s="35"/>
      <c r="W360" s="35"/>
      <c r="X360" s="39">
        <f t="shared" ref="X360:X365" si="1036">SUM(T360:W360)</f>
        <v>33</v>
      </c>
      <c r="Y360" s="35"/>
      <c r="Z360" s="35"/>
      <c r="AA360" s="35"/>
      <c r="AB360" s="39">
        <f t="shared" ref="AB360:AB365" si="1037">SUM(X360:AA360)</f>
        <v>33</v>
      </c>
      <c r="AC360" s="35"/>
      <c r="AD360" s="35"/>
      <c r="AE360" s="35"/>
      <c r="AF360" s="39">
        <f t="shared" ref="AF360:AF365" si="1038">SUM(AB360:AE360)</f>
        <v>33</v>
      </c>
      <c r="AG360" s="35"/>
      <c r="AH360" s="35"/>
      <c r="AI360" s="35"/>
      <c r="AJ360" s="39">
        <f t="shared" ref="AJ360:AJ365" si="1039">SUM(AF360:AI360)</f>
        <v>33</v>
      </c>
      <c r="AK360" s="35"/>
      <c r="AL360" s="41">
        <v>8.0</v>
      </c>
      <c r="AM360" s="35"/>
      <c r="AN360" s="39">
        <f t="shared" ref="AN360:AN365" si="1040">SUM(AJ360:AM360)</f>
        <v>41</v>
      </c>
      <c r="AO360" s="35"/>
      <c r="AP360" s="35"/>
      <c r="AQ360" s="35"/>
      <c r="AR360" s="39">
        <f t="shared" ref="AR360:AR365" si="1041">SUM(AN360:AQ360)</f>
        <v>41</v>
      </c>
      <c r="AS360" s="35"/>
      <c r="AT360" s="35"/>
      <c r="AU360" s="35"/>
      <c r="AV360" s="39">
        <f t="shared" ref="AV360:AV365" si="1042">SUM(AR360:AU360)</f>
        <v>41</v>
      </c>
      <c r="AW360" s="35"/>
      <c r="AX360" s="35"/>
      <c r="AY360" s="35"/>
      <c r="AZ360" s="39">
        <f t="shared" ref="AZ360:AZ365" si="1043">SUM(AV360:AY360)</f>
        <v>41</v>
      </c>
      <c r="BA360" s="35"/>
      <c r="BB360" s="35"/>
      <c r="BC360" s="35"/>
      <c r="BD360" s="39">
        <f t="shared" ref="BD360:BD365" si="1044">SUM(AZ360:BC360)</f>
        <v>41</v>
      </c>
      <c r="BE360" s="35"/>
      <c r="BF360" s="35"/>
      <c r="BG360" s="35"/>
      <c r="BH360" s="39">
        <f t="shared" ref="BH360:BH365" si="1045">SUM(BD360:BG360)</f>
        <v>41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16" t="s">
        <v>291</v>
      </c>
      <c r="C361" s="116">
        <v>3.0</v>
      </c>
      <c r="D361" s="116">
        <v>9539.0</v>
      </c>
      <c r="E361" s="116">
        <v>28.0</v>
      </c>
      <c r="F361" s="35">
        <f t="shared" si="1031"/>
        <v>29</v>
      </c>
      <c r="G361" s="37">
        <f t="shared" si="1032"/>
        <v>0.724137931</v>
      </c>
      <c r="H361" s="38">
        <v>21.0</v>
      </c>
      <c r="I361" s="38">
        <f t="shared" si="1033"/>
        <v>21</v>
      </c>
      <c r="J361" s="39"/>
      <c r="K361" s="40">
        <v>2023.0</v>
      </c>
      <c r="L361" s="24">
        <v>2026.0</v>
      </c>
      <c r="M361" s="35"/>
      <c r="N361" s="35"/>
      <c r="O361" s="35"/>
      <c r="P361" s="39">
        <f t="shared" si="1034"/>
        <v>21</v>
      </c>
      <c r="Q361" s="35"/>
      <c r="R361" s="35"/>
      <c r="S361" s="35"/>
      <c r="T361" s="39">
        <f t="shared" si="1035"/>
        <v>21</v>
      </c>
      <c r="U361" s="35"/>
      <c r="V361" s="35"/>
      <c r="W361" s="35"/>
      <c r="X361" s="39">
        <f t="shared" si="1036"/>
        <v>21</v>
      </c>
      <c r="Y361" s="35"/>
      <c r="Z361" s="35"/>
      <c r="AA361" s="35"/>
      <c r="AB361" s="39">
        <f t="shared" si="1037"/>
        <v>21</v>
      </c>
      <c r="AC361" s="35"/>
      <c r="AD361" s="35"/>
      <c r="AE361" s="35"/>
      <c r="AF361" s="39">
        <f t="shared" si="1038"/>
        <v>21</v>
      </c>
      <c r="AG361" s="35"/>
      <c r="AH361" s="35"/>
      <c r="AI361" s="35"/>
      <c r="AJ361" s="39">
        <f t="shared" si="1039"/>
        <v>21</v>
      </c>
      <c r="AK361" s="35"/>
      <c r="AL361" s="35"/>
      <c r="AM361" s="35"/>
      <c r="AN361" s="39">
        <f t="shared" si="1040"/>
        <v>21</v>
      </c>
      <c r="AO361" s="35"/>
      <c r="AP361" s="35"/>
      <c r="AQ361" s="35"/>
      <c r="AR361" s="39">
        <f t="shared" si="1041"/>
        <v>21</v>
      </c>
      <c r="AS361" s="35"/>
      <c r="AT361" s="35"/>
      <c r="AU361" s="35"/>
      <c r="AV361" s="39">
        <f t="shared" si="1042"/>
        <v>21</v>
      </c>
      <c r="AW361" s="35"/>
      <c r="AX361" s="35"/>
      <c r="AY361" s="35"/>
      <c r="AZ361" s="39">
        <f t="shared" si="1043"/>
        <v>21</v>
      </c>
      <c r="BA361" s="35"/>
      <c r="BB361" s="35"/>
      <c r="BC361" s="35"/>
      <c r="BD361" s="39">
        <f t="shared" si="1044"/>
        <v>21</v>
      </c>
      <c r="BE361" s="35"/>
      <c r="BF361" s="35"/>
      <c r="BG361" s="35"/>
      <c r="BH361" s="39">
        <f t="shared" si="1045"/>
        <v>21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292</v>
      </c>
      <c r="C362" s="36">
        <v>9.0</v>
      </c>
      <c r="D362" s="36">
        <v>6734.0</v>
      </c>
      <c r="E362" s="36">
        <v>25.0</v>
      </c>
      <c r="F362" s="35">
        <f t="shared" si="1031"/>
        <v>26</v>
      </c>
      <c r="G362" s="37">
        <f t="shared" si="1032"/>
        <v>1.038461538</v>
      </c>
      <c r="H362" s="38">
        <v>8.0</v>
      </c>
      <c r="I362" s="38">
        <f t="shared" si="1033"/>
        <v>8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4"/>
        <v>8</v>
      </c>
      <c r="Q362" s="35"/>
      <c r="R362" s="35"/>
      <c r="S362" s="35"/>
      <c r="T362" s="39">
        <f t="shared" si="1035"/>
        <v>8</v>
      </c>
      <c r="U362" s="35"/>
      <c r="V362" s="35"/>
      <c r="W362" s="35"/>
      <c r="X362" s="39">
        <f t="shared" si="1036"/>
        <v>8</v>
      </c>
      <c r="Y362" s="35"/>
      <c r="Z362" s="35"/>
      <c r="AA362" s="35"/>
      <c r="AB362" s="39">
        <f t="shared" si="1037"/>
        <v>8</v>
      </c>
      <c r="AC362" s="35"/>
      <c r="AD362" s="35"/>
      <c r="AE362" s="35"/>
      <c r="AF362" s="39">
        <f t="shared" si="1038"/>
        <v>8</v>
      </c>
      <c r="AG362" s="35"/>
      <c r="AH362" s="35"/>
      <c r="AI362" s="35"/>
      <c r="AJ362" s="39">
        <f t="shared" si="1039"/>
        <v>8</v>
      </c>
      <c r="AK362" s="35"/>
      <c r="AL362" s="41">
        <v>11.0</v>
      </c>
      <c r="AM362" s="35"/>
      <c r="AN362" s="39">
        <f t="shared" si="1040"/>
        <v>19</v>
      </c>
      <c r="AO362" s="35"/>
      <c r="AP362" s="35"/>
      <c r="AQ362" s="35"/>
      <c r="AR362" s="39">
        <f t="shared" si="1041"/>
        <v>19</v>
      </c>
      <c r="AS362" s="41">
        <v>2.0</v>
      </c>
      <c r="AT362" s="35"/>
      <c r="AU362" s="35"/>
      <c r="AV362" s="39">
        <f t="shared" si="1042"/>
        <v>21</v>
      </c>
      <c r="AW362" s="35"/>
      <c r="AX362" s="41">
        <v>6.0</v>
      </c>
      <c r="AY362" s="35"/>
      <c r="AZ362" s="39">
        <f t="shared" si="1043"/>
        <v>27</v>
      </c>
      <c r="BA362" s="35"/>
      <c r="BB362" s="35"/>
      <c r="BC362" s="35"/>
      <c r="BD362" s="39">
        <f t="shared" si="1044"/>
        <v>27</v>
      </c>
      <c r="BE362" s="35"/>
      <c r="BF362" s="35"/>
      <c r="BG362" s="35"/>
      <c r="BH362" s="39">
        <f t="shared" si="1045"/>
        <v>27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293</v>
      </c>
      <c r="C363" s="36">
        <v>10.0</v>
      </c>
      <c r="D363" s="36">
        <v>3433.0</v>
      </c>
      <c r="E363" s="36">
        <v>50.0</v>
      </c>
      <c r="F363" s="35">
        <f t="shared" si="1031"/>
        <v>51</v>
      </c>
      <c r="G363" s="37">
        <f t="shared" si="1032"/>
        <v>0.7647058824</v>
      </c>
      <c r="H363" s="38">
        <v>31.0</v>
      </c>
      <c r="I363" s="38">
        <f t="shared" si="1033"/>
        <v>31</v>
      </c>
      <c r="J363" s="39"/>
      <c r="K363" s="40">
        <v>2027.0</v>
      </c>
      <c r="L363" s="24">
        <v>2026.0</v>
      </c>
      <c r="M363" s="35"/>
      <c r="N363" s="35"/>
      <c r="O363" s="35"/>
      <c r="P363" s="39">
        <f t="shared" si="1034"/>
        <v>31</v>
      </c>
      <c r="Q363" s="35"/>
      <c r="R363" s="35"/>
      <c r="S363" s="35"/>
      <c r="T363" s="39">
        <f t="shared" si="1035"/>
        <v>31</v>
      </c>
      <c r="U363" s="35"/>
      <c r="V363" s="35"/>
      <c r="W363" s="35"/>
      <c r="X363" s="39">
        <f t="shared" si="1036"/>
        <v>31</v>
      </c>
      <c r="Y363" s="35"/>
      <c r="Z363" s="35"/>
      <c r="AA363" s="35"/>
      <c r="AB363" s="39">
        <f t="shared" si="1037"/>
        <v>31</v>
      </c>
      <c r="AC363" s="35"/>
      <c r="AD363" s="35"/>
      <c r="AE363" s="35"/>
      <c r="AF363" s="39">
        <f t="shared" si="1038"/>
        <v>31</v>
      </c>
      <c r="AG363" s="35"/>
      <c r="AH363" s="35"/>
      <c r="AI363" s="35"/>
      <c r="AJ363" s="39">
        <f t="shared" si="1039"/>
        <v>31</v>
      </c>
      <c r="AK363" s="35"/>
      <c r="AL363" s="35"/>
      <c r="AM363" s="35"/>
      <c r="AN363" s="39">
        <f t="shared" si="1040"/>
        <v>31</v>
      </c>
      <c r="AO363" s="35"/>
      <c r="AP363" s="35"/>
      <c r="AQ363" s="35"/>
      <c r="AR363" s="39">
        <f t="shared" si="1041"/>
        <v>31</v>
      </c>
      <c r="AS363" s="35"/>
      <c r="AT363" s="35"/>
      <c r="AU363" s="35"/>
      <c r="AV363" s="39">
        <f t="shared" si="1042"/>
        <v>31</v>
      </c>
      <c r="AW363" s="35"/>
      <c r="AX363" s="41">
        <v>8.0</v>
      </c>
      <c r="AY363" s="35"/>
      <c r="AZ363" s="39">
        <f t="shared" si="1043"/>
        <v>39</v>
      </c>
      <c r="BA363" s="35"/>
      <c r="BB363" s="35"/>
      <c r="BC363" s="35"/>
      <c r="BD363" s="39">
        <f t="shared" si="1044"/>
        <v>39</v>
      </c>
      <c r="BE363" s="35"/>
      <c r="BF363" s="35"/>
      <c r="BG363" s="35"/>
      <c r="BH363" s="39">
        <f t="shared" si="1045"/>
        <v>39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116" t="s">
        <v>294</v>
      </c>
      <c r="C364" s="36">
        <v>13.0</v>
      </c>
      <c r="D364" s="36">
        <v>2779.0</v>
      </c>
      <c r="E364" s="36">
        <v>19.0</v>
      </c>
      <c r="F364" s="35">
        <f t="shared" si="1031"/>
        <v>20</v>
      </c>
      <c r="G364" s="37">
        <f t="shared" si="1032"/>
        <v>0.5</v>
      </c>
      <c r="H364" s="38">
        <v>10.0</v>
      </c>
      <c r="I364" s="38">
        <f t="shared" si="1033"/>
        <v>10</v>
      </c>
      <c r="J364" s="39"/>
      <c r="K364" s="40">
        <v>2027.0</v>
      </c>
      <c r="L364" s="24">
        <v>2026.0</v>
      </c>
      <c r="M364" s="35"/>
      <c r="N364" s="35"/>
      <c r="O364" s="35"/>
      <c r="P364" s="39">
        <f t="shared" si="1034"/>
        <v>10</v>
      </c>
      <c r="Q364" s="35"/>
      <c r="R364" s="35"/>
      <c r="S364" s="35"/>
      <c r="T364" s="39">
        <f t="shared" si="1035"/>
        <v>10</v>
      </c>
      <c r="U364" s="35"/>
      <c r="V364" s="35"/>
      <c r="W364" s="35"/>
      <c r="X364" s="39">
        <f t="shared" si="1036"/>
        <v>10</v>
      </c>
      <c r="Y364" s="35"/>
      <c r="Z364" s="35"/>
      <c r="AA364" s="35"/>
      <c r="AB364" s="39">
        <f t="shared" si="1037"/>
        <v>10</v>
      </c>
      <c r="AC364" s="35"/>
      <c r="AD364" s="35"/>
      <c r="AE364" s="35"/>
      <c r="AF364" s="39">
        <f t="shared" si="1038"/>
        <v>10</v>
      </c>
      <c r="AG364" s="35"/>
      <c r="AH364" s="35"/>
      <c r="AI364" s="35"/>
      <c r="AJ364" s="39">
        <f t="shared" si="1039"/>
        <v>10</v>
      </c>
      <c r="AK364" s="35"/>
      <c r="AL364" s="35"/>
      <c r="AM364" s="35"/>
      <c r="AN364" s="39">
        <f t="shared" si="1040"/>
        <v>10</v>
      </c>
      <c r="AO364" s="35"/>
      <c r="AP364" s="35"/>
      <c r="AQ364" s="35"/>
      <c r="AR364" s="39">
        <f t="shared" si="1041"/>
        <v>10</v>
      </c>
      <c r="AS364" s="35"/>
      <c r="AT364" s="35"/>
      <c r="AU364" s="35"/>
      <c r="AV364" s="39">
        <f t="shared" si="1042"/>
        <v>10</v>
      </c>
      <c r="AW364" s="35"/>
      <c r="AX364" s="35"/>
      <c r="AY364" s="35"/>
      <c r="AZ364" s="39">
        <f t="shared" si="1043"/>
        <v>10</v>
      </c>
      <c r="BA364" s="35"/>
      <c r="BB364" s="35"/>
      <c r="BC364" s="35"/>
      <c r="BD364" s="39">
        <f t="shared" si="1044"/>
        <v>10</v>
      </c>
      <c r="BE364" s="35"/>
      <c r="BF364" s="35"/>
      <c r="BG364" s="35"/>
      <c r="BH364" s="39">
        <f t="shared" si="1045"/>
        <v>10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6" t="s">
        <v>295</v>
      </c>
      <c r="C365" s="36">
        <v>15.0</v>
      </c>
      <c r="D365" s="50"/>
      <c r="E365" s="101">
        <v>51.0</v>
      </c>
      <c r="F365" s="35">
        <f t="shared" si="1031"/>
        <v>52</v>
      </c>
      <c r="G365" s="37">
        <f t="shared" si="1032"/>
        <v>0.8653846154</v>
      </c>
      <c r="H365" s="101">
        <v>21.0</v>
      </c>
      <c r="I365" s="38">
        <f t="shared" si="1033"/>
        <v>21</v>
      </c>
      <c r="J365" s="101"/>
      <c r="K365" s="101">
        <v>2027.0</v>
      </c>
      <c r="L365" s="24">
        <v>2026.0</v>
      </c>
      <c r="M365" s="35"/>
      <c r="N365" s="35"/>
      <c r="O365" s="35"/>
      <c r="P365" s="39">
        <f t="shared" si="1034"/>
        <v>21</v>
      </c>
      <c r="Q365" s="35"/>
      <c r="R365" s="35"/>
      <c r="S365" s="35"/>
      <c r="T365" s="39">
        <f t="shared" si="1035"/>
        <v>21</v>
      </c>
      <c r="U365" s="35"/>
      <c r="V365" s="35"/>
      <c r="W365" s="35"/>
      <c r="X365" s="39">
        <f t="shared" si="1036"/>
        <v>21</v>
      </c>
      <c r="Y365" s="35"/>
      <c r="Z365" s="41">
        <v>11.0</v>
      </c>
      <c r="AA365" s="35"/>
      <c r="AB365" s="39">
        <f t="shared" si="1037"/>
        <v>32</v>
      </c>
      <c r="AC365" s="35"/>
      <c r="AD365" s="35"/>
      <c r="AE365" s="35"/>
      <c r="AF365" s="39">
        <f t="shared" si="1038"/>
        <v>32</v>
      </c>
      <c r="AG365" s="35"/>
      <c r="AH365" s="35"/>
      <c r="AI365" s="35"/>
      <c r="AJ365" s="39">
        <f t="shared" si="1039"/>
        <v>32</v>
      </c>
      <c r="AK365" s="35"/>
      <c r="AL365" s="41">
        <v>3.0</v>
      </c>
      <c r="AM365" s="35"/>
      <c r="AN365" s="39">
        <f t="shared" si="1040"/>
        <v>35</v>
      </c>
      <c r="AO365" s="35"/>
      <c r="AP365" s="35"/>
      <c r="AQ365" s="35"/>
      <c r="AR365" s="39">
        <f t="shared" si="1041"/>
        <v>35</v>
      </c>
      <c r="AS365" s="35"/>
      <c r="AT365" s="41">
        <v>2.0</v>
      </c>
      <c r="AU365" s="35"/>
      <c r="AV365" s="39">
        <f t="shared" si="1042"/>
        <v>37</v>
      </c>
      <c r="AW365" s="35"/>
      <c r="AX365" s="41">
        <v>8.0</v>
      </c>
      <c r="AY365" s="35"/>
      <c r="AZ365" s="39">
        <f t="shared" si="1043"/>
        <v>45</v>
      </c>
      <c r="BA365" s="35"/>
      <c r="BB365" s="35"/>
      <c r="BC365" s="35"/>
      <c r="BD365" s="39">
        <f t="shared" si="1044"/>
        <v>45</v>
      </c>
      <c r="BE365" s="35"/>
      <c r="BF365" s="35"/>
      <c r="BG365" s="35"/>
      <c r="BH365" s="39">
        <f t="shared" si="1045"/>
        <v>45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0"/>
      <c r="B366" s="40"/>
      <c r="C366" s="40"/>
      <c r="D366" s="40"/>
      <c r="E366" s="40"/>
      <c r="F366" s="40"/>
      <c r="G366" s="40"/>
      <c r="H366" s="38"/>
      <c r="I366" s="38"/>
      <c r="J366" s="38"/>
      <c r="K366" s="40"/>
      <c r="L366" s="40"/>
      <c r="M366" s="38">
        <f t="shared" ref="M366:AA366" si="1046">SUM(M359:M365)</f>
        <v>0</v>
      </c>
      <c r="N366" s="38">
        <f t="shared" si="1046"/>
        <v>0</v>
      </c>
      <c r="O366" s="38">
        <f t="shared" si="1046"/>
        <v>0</v>
      </c>
      <c r="P366" s="38">
        <f t="shared" si="1046"/>
        <v>124</v>
      </c>
      <c r="Q366" s="38">
        <f t="shared" si="1046"/>
        <v>0</v>
      </c>
      <c r="R366" s="38">
        <f t="shared" si="1046"/>
        <v>0</v>
      </c>
      <c r="S366" s="38">
        <f t="shared" si="1046"/>
        <v>0</v>
      </c>
      <c r="T366" s="38">
        <f t="shared" si="1046"/>
        <v>124</v>
      </c>
      <c r="U366" s="38">
        <f t="shared" si="1046"/>
        <v>0</v>
      </c>
      <c r="V366" s="38">
        <f t="shared" si="1046"/>
        <v>0</v>
      </c>
      <c r="W366" s="38">
        <f t="shared" si="1046"/>
        <v>0</v>
      </c>
      <c r="X366" s="38">
        <f t="shared" si="1046"/>
        <v>124</v>
      </c>
      <c r="Y366" s="38">
        <f t="shared" si="1046"/>
        <v>0</v>
      </c>
      <c r="Z366" s="38">
        <f t="shared" si="1046"/>
        <v>11</v>
      </c>
      <c r="AA366" s="38">
        <f t="shared" si="1046"/>
        <v>0</v>
      </c>
      <c r="AB366" s="38">
        <f>SUM(AB359:AB364)</f>
        <v>103</v>
      </c>
      <c r="AC366" s="38">
        <f t="shared" ref="AC366:BH366" si="1047">SUM(AC359:AC365)</f>
        <v>0</v>
      </c>
      <c r="AD366" s="38">
        <f t="shared" si="1047"/>
        <v>0</v>
      </c>
      <c r="AE366" s="38">
        <f t="shared" si="1047"/>
        <v>0</v>
      </c>
      <c r="AF366" s="38">
        <f t="shared" si="1047"/>
        <v>135</v>
      </c>
      <c r="AG366" s="38">
        <f t="shared" si="1047"/>
        <v>0</v>
      </c>
      <c r="AH366" s="38">
        <f t="shared" si="1047"/>
        <v>0</v>
      </c>
      <c r="AI366" s="38">
        <f t="shared" si="1047"/>
        <v>0</v>
      </c>
      <c r="AJ366" s="38">
        <f t="shared" si="1047"/>
        <v>135</v>
      </c>
      <c r="AK366" s="38">
        <f t="shared" si="1047"/>
        <v>0</v>
      </c>
      <c r="AL366" s="38">
        <f t="shared" si="1047"/>
        <v>22</v>
      </c>
      <c r="AM366" s="38">
        <f t="shared" si="1047"/>
        <v>0</v>
      </c>
      <c r="AN366" s="38">
        <f t="shared" si="1047"/>
        <v>157</v>
      </c>
      <c r="AO366" s="38">
        <f t="shared" si="1047"/>
        <v>0</v>
      </c>
      <c r="AP366" s="38">
        <f t="shared" si="1047"/>
        <v>0</v>
      </c>
      <c r="AQ366" s="38">
        <f t="shared" si="1047"/>
        <v>0</v>
      </c>
      <c r="AR366" s="38">
        <f t="shared" si="1047"/>
        <v>157</v>
      </c>
      <c r="AS366" s="38">
        <f t="shared" si="1047"/>
        <v>2</v>
      </c>
      <c r="AT366" s="38">
        <f t="shared" si="1047"/>
        <v>2</v>
      </c>
      <c r="AU366" s="38">
        <f t="shared" si="1047"/>
        <v>0</v>
      </c>
      <c r="AV366" s="38">
        <f t="shared" si="1047"/>
        <v>161</v>
      </c>
      <c r="AW366" s="38">
        <f t="shared" si="1047"/>
        <v>0</v>
      </c>
      <c r="AX366" s="38">
        <f t="shared" si="1047"/>
        <v>22</v>
      </c>
      <c r="AY366" s="38">
        <f t="shared" si="1047"/>
        <v>0</v>
      </c>
      <c r="AZ366" s="38">
        <f t="shared" si="1047"/>
        <v>183</v>
      </c>
      <c r="BA366" s="38">
        <f t="shared" si="1047"/>
        <v>0</v>
      </c>
      <c r="BB366" s="38">
        <f t="shared" si="1047"/>
        <v>0</v>
      </c>
      <c r="BC366" s="38">
        <f t="shared" si="1047"/>
        <v>0</v>
      </c>
      <c r="BD366" s="38">
        <f t="shared" si="1047"/>
        <v>183</v>
      </c>
      <c r="BE366" s="38">
        <f t="shared" si="1047"/>
        <v>0</v>
      </c>
      <c r="BF366" s="38">
        <f t="shared" si="1047"/>
        <v>0</v>
      </c>
      <c r="BG366" s="38">
        <f t="shared" si="1047"/>
        <v>0</v>
      </c>
      <c r="BH366" s="38">
        <f t="shared" si="1047"/>
        <v>183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35" t="s">
        <v>35</v>
      </c>
      <c r="C367" s="35">
        <f>COUNT(C360:C365)</f>
        <v>6</v>
      </c>
      <c r="D367" s="35"/>
      <c r="E367" s="35">
        <f>SUM(E359:E365)</f>
        <v>214</v>
      </c>
      <c r="F367" s="35">
        <f>SUM(E359:E365)+1</f>
        <v>215</v>
      </c>
      <c r="G367" s="63">
        <f>$BH366/F367</f>
        <v>0.8511627907</v>
      </c>
      <c r="H367" s="39">
        <f t="shared" ref="H367:J367" si="1048">SUM(H359:H365)</f>
        <v>124</v>
      </c>
      <c r="I367" s="39">
        <f t="shared" si="1048"/>
        <v>124</v>
      </c>
      <c r="J367" s="39">
        <f t="shared" si="1048"/>
        <v>0</v>
      </c>
      <c r="K367" s="35"/>
      <c r="L367" s="35"/>
      <c r="M367" s="35"/>
      <c r="N367" s="35"/>
      <c r="O367" s="35"/>
      <c r="P367" s="63">
        <f>P366/F367</f>
        <v>0.576744186</v>
      </c>
      <c r="Q367" s="39">
        <f t="shared" ref="Q367:S367" si="1049">M366+Q366</f>
        <v>0</v>
      </c>
      <c r="R367" s="39">
        <f t="shared" si="1049"/>
        <v>0</v>
      </c>
      <c r="S367" s="39">
        <f t="shared" si="1049"/>
        <v>0</v>
      </c>
      <c r="T367" s="63">
        <f>T366/F367</f>
        <v>0.576744186</v>
      </c>
      <c r="U367" s="39">
        <f t="shared" ref="U367:W367" si="1050">Q367+U366</f>
        <v>0</v>
      </c>
      <c r="V367" s="39">
        <f t="shared" si="1050"/>
        <v>0</v>
      </c>
      <c r="W367" s="39">
        <f t="shared" si="1050"/>
        <v>0</v>
      </c>
      <c r="X367" s="63">
        <f>X366/F367</f>
        <v>0.576744186</v>
      </c>
      <c r="Y367" s="39">
        <f t="shared" ref="Y367:AA367" si="1051">U367+Y366</f>
        <v>0</v>
      </c>
      <c r="Z367" s="39">
        <f t="shared" si="1051"/>
        <v>11</v>
      </c>
      <c r="AA367" s="39">
        <f t="shared" si="1051"/>
        <v>0</v>
      </c>
      <c r="AB367" s="63">
        <f>AB366/F367</f>
        <v>0.4790697674</v>
      </c>
      <c r="AC367" s="39">
        <f t="shared" ref="AC367:AE367" si="1052">Y367+AC366</f>
        <v>0</v>
      </c>
      <c r="AD367" s="39">
        <f t="shared" si="1052"/>
        <v>11</v>
      </c>
      <c r="AE367" s="39">
        <f t="shared" si="1052"/>
        <v>0</v>
      </c>
      <c r="AF367" s="63">
        <f>AF366/F367</f>
        <v>0.6279069767</v>
      </c>
      <c r="AG367" s="39">
        <f t="shared" ref="AG367:AI367" si="1053">AC367+AG366</f>
        <v>0</v>
      </c>
      <c r="AH367" s="39">
        <f t="shared" si="1053"/>
        <v>11</v>
      </c>
      <c r="AI367" s="39">
        <f t="shared" si="1053"/>
        <v>0</v>
      </c>
      <c r="AJ367" s="63">
        <f>AJ366/F367</f>
        <v>0.6279069767</v>
      </c>
      <c r="AK367" s="39">
        <f t="shared" ref="AK367:AM367" si="1054">AG367+AK366</f>
        <v>0</v>
      </c>
      <c r="AL367" s="39">
        <f t="shared" si="1054"/>
        <v>33</v>
      </c>
      <c r="AM367" s="39">
        <f t="shared" si="1054"/>
        <v>0</v>
      </c>
      <c r="AN367" s="63">
        <f>AN366/F367</f>
        <v>0.7302325581</v>
      </c>
      <c r="AO367" s="39">
        <f t="shared" ref="AO367:AQ367" si="1055">AK367+AO366</f>
        <v>0</v>
      </c>
      <c r="AP367" s="39">
        <f t="shared" si="1055"/>
        <v>33</v>
      </c>
      <c r="AQ367" s="39">
        <f t="shared" si="1055"/>
        <v>0</v>
      </c>
      <c r="AR367" s="63">
        <f>AR366/F367</f>
        <v>0.7302325581</v>
      </c>
      <c r="AS367" s="39">
        <f t="shared" ref="AS367:AU367" si="1056">AO367+AS366</f>
        <v>2</v>
      </c>
      <c r="AT367" s="39">
        <f t="shared" si="1056"/>
        <v>35</v>
      </c>
      <c r="AU367" s="39">
        <f t="shared" si="1056"/>
        <v>0</v>
      </c>
      <c r="AV367" s="63">
        <f>AV366/F367</f>
        <v>0.7488372093</v>
      </c>
      <c r="AW367" s="39">
        <f t="shared" ref="AW367:AY367" si="1057">AS367+AW366</f>
        <v>2</v>
      </c>
      <c r="AX367" s="39">
        <f t="shared" si="1057"/>
        <v>57</v>
      </c>
      <c r="AY367" s="39">
        <f t="shared" si="1057"/>
        <v>0</v>
      </c>
      <c r="AZ367" s="63">
        <f>AZ366/F367</f>
        <v>0.8511627907</v>
      </c>
      <c r="BA367" s="39">
        <f t="shared" ref="BA367:BC367" si="1058">AW367+BA366</f>
        <v>2</v>
      </c>
      <c r="BB367" s="39">
        <f t="shared" si="1058"/>
        <v>57</v>
      </c>
      <c r="BC367" s="39">
        <f t="shared" si="1058"/>
        <v>0</v>
      </c>
      <c r="BD367" s="63">
        <f>BD366/F367</f>
        <v>0.8511627907</v>
      </c>
      <c r="BE367" s="39">
        <f t="shared" ref="BE367:BG367" si="1059">BA367+BE366</f>
        <v>2</v>
      </c>
      <c r="BF367" s="39">
        <f t="shared" si="1059"/>
        <v>57</v>
      </c>
      <c r="BG367" s="39">
        <f t="shared" si="1059"/>
        <v>0</v>
      </c>
      <c r="BH367" s="63">
        <f>BH366/F367</f>
        <v>0.8511627907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50"/>
      <c r="B368" s="50"/>
      <c r="C368" s="50"/>
      <c r="D368" s="50"/>
      <c r="E368" s="50"/>
      <c r="F368" s="50"/>
      <c r="G368" s="50"/>
      <c r="H368" s="65"/>
      <c r="I368" s="65"/>
      <c r="J368" s="65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66" t="s">
        <v>296</v>
      </c>
      <c r="B369" s="35"/>
      <c r="C369" s="35"/>
      <c r="D369" s="35"/>
      <c r="E369" s="36"/>
      <c r="F369" s="35"/>
      <c r="G369" s="63"/>
      <c r="H369" s="39"/>
      <c r="I369" s="39"/>
      <c r="J369" s="39"/>
      <c r="K369" s="35">
        <v>2025.0</v>
      </c>
      <c r="L369" s="35">
        <v>2025.0</v>
      </c>
      <c r="M369" s="35"/>
      <c r="N369" s="35"/>
      <c r="O369" s="35"/>
      <c r="P369" s="39" t="str">
        <f>+H369</f>
        <v/>
      </c>
      <c r="Q369" s="35"/>
      <c r="R369" s="35"/>
      <c r="S369" s="35"/>
      <c r="T369" s="39">
        <f t="shared" ref="T369:T372" si="1060">SUM(P369:S369)</f>
        <v>0</v>
      </c>
      <c r="U369" s="35"/>
      <c r="V369" s="35"/>
      <c r="W369" s="35"/>
      <c r="X369" s="39">
        <f t="shared" ref="X369:X372" si="1061">SUM(T369:W369)</f>
        <v>0</v>
      </c>
      <c r="Y369" s="35"/>
      <c r="Z369" s="35"/>
      <c r="AA369" s="35"/>
      <c r="AB369" s="39">
        <f t="shared" ref="AB369:AB372" si="1062">SUM(X369:AA369)</f>
        <v>0</v>
      </c>
      <c r="AC369" s="35"/>
      <c r="AD369" s="35"/>
      <c r="AE369" s="35"/>
      <c r="AF369" s="39">
        <f t="shared" ref="AF369:AF372" si="1063">SUM(AB369:AE369)</f>
        <v>0</v>
      </c>
      <c r="AG369" s="35"/>
      <c r="AH369" s="35"/>
      <c r="AI369" s="35"/>
      <c r="AJ369" s="39">
        <f t="shared" ref="AJ369:AJ372" si="1064">SUM(AF369:AI369)</f>
        <v>0</v>
      </c>
      <c r="AK369" s="35"/>
      <c r="AL369" s="35"/>
      <c r="AM369" s="35"/>
      <c r="AN369" s="39">
        <f t="shared" ref="AN369:AN372" si="1065">SUM(AJ369:AM369)</f>
        <v>0</v>
      </c>
      <c r="AO369" s="35"/>
      <c r="AP369" s="35"/>
      <c r="AQ369" s="35"/>
      <c r="AR369" s="39">
        <f t="shared" ref="AR369:AR372" si="1066">SUM(AN369:AQ369)</f>
        <v>0</v>
      </c>
      <c r="AS369" s="35"/>
      <c r="AT369" s="35"/>
      <c r="AU369" s="35"/>
      <c r="AV369" s="39">
        <f t="shared" ref="AV369:AV372" si="1067">SUM(AR369:AU369)</f>
        <v>0</v>
      </c>
      <c r="AW369" s="35"/>
      <c r="AX369" s="35"/>
      <c r="AY369" s="35"/>
      <c r="AZ369" s="39">
        <f t="shared" ref="AZ369:AZ372" si="1068">SUM(AV369:AY369)</f>
        <v>0</v>
      </c>
      <c r="BA369" s="35"/>
      <c r="BB369" s="35"/>
      <c r="BC369" s="35"/>
      <c r="BD369" s="39">
        <f t="shared" ref="BD369:BD372" si="1069">SUM(AZ369:BC369)</f>
        <v>0</v>
      </c>
      <c r="BE369" s="35"/>
      <c r="BF369" s="35"/>
      <c r="BG369" s="35"/>
      <c r="BH369" s="39">
        <f t="shared" ref="BH369:BH372" si="1070">SUM(BD369:BG369)</f>
        <v>0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116" t="s">
        <v>297</v>
      </c>
      <c r="C370" s="36">
        <v>1.0</v>
      </c>
      <c r="D370" s="36">
        <v>628.0</v>
      </c>
      <c r="E370" s="36">
        <v>34.0</v>
      </c>
      <c r="F370" s="35">
        <f t="shared" ref="F370:F372" si="1071">E370+1</f>
        <v>35</v>
      </c>
      <c r="G370" s="63">
        <f t="shared" ref="G370:G372" si="1072">$BH370/F370</f>
        <v>0.4571428571</v>
      </c>
      <c r="H370" s="39">
        <v>12.0</v>
      </c>
      <c r="I370" s="39">
        <f t="shared" ref="I370:I372" si="1073">+H370+J370</f>
        <v>12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ref="P370:P372" si="1074">SUM(M370:O370)+H370</f>
        <v>12</v>
      </c>
      <c r="Q370" s="35"/>
      <c r="R370" s="35"/>
      <c r="S370" s="35"/>
      <c r="T370" s="39">
        <f t="shared" si="1060"/>
        <v>12</v>
      </c>
      <c r="U370" s="35"/>
      <c r="V370" s="35"/>
      <c r="W370" s="35"/>
      <c r="X370" s="39">
        <f t="shared" si="1061"/>
        <v>12</v>
      </c>
      <c r="Y370" s="35"/>
      <c r="Z370" s="35"/>
      <c r="AA370" s="35"/>
      <c r="AB370" s="39">
        <f t="shared" si="1062"/>
        <v>12</v>
      </c>
      <c r="AC370" s="35"/>
      <c r="AD370" s="35"/>
      <c r="AE370" s="35"/>
      <c r="AF370" s="39">
        <f t="shared" si="1063"/>
        <v>12</v>
      </c>
      <c r="AG370" s="35"/>
      <c r="AH370" s="35"/>
      <c r="AI370" s="35"/>
      <c r="AJ370" s="39">
        <f t="shared" si="1064"/>
        <v>12</v>
      </c>
      <c r="AK370" s="35"/>
      <c r="AL370" s="35"/>
      <c r="AM370" s="35"/>
      <c r="AN370" s="39">
        <f t="shared" si="1065"/>
        <v>12</v>
      </c>
      <c r="AO370" s="35"/>
      <c r="AP370" s="35"/>
      <c r="AQ370" s="35"/>
      <c r="AR370" s="39">
        <f t="shared" si="1066"/>
        <v>12</v>
      </c>
      <c r="AS370" s="35"/>
      <c r="AT370" s="35"/>
      <c r="AU370" s="35"/>
      <c r="AV370" s="39">
        <f t="shared" si="1067"/>
        <v>12</v>
      </c>
      <c r="AW370" s="35"/>
      <c r="AX370" s="35"/>
      <c r="AY370" s="35"/>
      <c r="AZ370" s="39">
        <f t="shared" si="1068"/>
        <v>12</v>
      </c>
      <c r="BA370" s="35"/>
      <c r="BB370" s="35"/>
      <c r="BC370" s="35"/>
      <c r="BD370" s="39">
        <f t="shared" si="1069"/>
        <v>12</v>
      </c>
      <c r="BE370" s="41">
        <v>3.0</v>
      </c>
      <c r="BF370" s="41">
        <v>1.0</v>
      </c>
      <c r="BG370" s="35"/>
      <c r="BH370" s="39">
        <f t="shared" si="1070"/>
        <v>16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35"/>
      <c r="B371" s="36" t="s">
        <v>298</v>
      </c>
      <c r="C371" s="36">
        <v>12.0</v>
      </c>
      <c r="D371" s="36">
        <v>791.0</v>
      </c>
      <c r="E371" s="36">
        <v>33.0</v>
      </c>
      <c r="F371" s="35">
        <f t="shared" si="1071"/>
        <v>34</v>
      </c>
      <c r="G371" s="63">
        <f t="shared" si="1072"/>
        <v>0.4411764706</v>
      </c>
      <c r="H371" s="39">
        <v>15.0</v>
      </c>
      <c r="I371" s="39">
        <f t="shared" si="1073"/>
        <v>15</v>
      </c>
      <c r="J371" s="39"/>
      <c r="K371" s="35">
        <v>2027.0</v>
      </c>
      <c r="L371" s="35">
        <v>2025.0</v>
      </c>
      <c r="M371" s="35"/>
      <c r="N371" s="35"/>
      <c r="O371" s="35"/>
      <c r="P371" s="39">
        <f t="shared" si="1074"/>
        <v>15</v>
      </c>
      <c r="Q371" s="35"/>
      <c r="R371" s="35"/>
      <c r="S371" s="35"/>
      <c r="T371" s="39">
        <f t="shared" si="1060"/>
        <v>15</v>
      </c>
      <c r="U371" s="35"/>
      <c r="V371" s="35"/>
      <c r="W371" s="35"/>
      <c r="X371" s="39">
        <f t="shared" si="1061"/>
        <v>15</v>
      </c>
      <c r="Y371" s="35"/>
      <c r="Z371" s="35"/>
      <c r="AA371" s="35"/>
      <c r="AB371" s="39">
        <f t="shared" si="1062"/>
        <v>15</v>
      </c>
      <c r="AC371" s="35"/>
      <c r="AD371" s="35"/>
      <c r="AE371" s="35"/>
      <c r="AF371" s="39">
        <f t="shared" si="1063"/>
        <v>15</v>
      </c>
      <c r="AG371" s="35"/>
      <c r="AH371" s="35"/>
      <c r="AI371" s="35"/>
      <c r="AJ371" s="39">
        <f t="shared" si="1064"/>
        <v>15</v>
      </c>
      <c r="AK371" s="35"/>
      <c r="AL371" s="35"/>
      <c r="AM371" s="35"/>
      <c r="AN371" s="39">
        <f t="shared" si="1065"/>
        <v>15</v>
      </c>
      <c r="AO371" s="35"/>
      <c r="AP371" s="35"/>
      <c r="AQ371" s="35"/>
      <c r="AR371" s="39">
        <f t="shared" si="1066"/>
        <v>15</v>
      </c>
      <c r="AS371" s="35"/>
      <c r="AT371" s="35"/>
      <c r="AU371" s="35"/>
      <c r="AV371" s="39">
        <f t="shared" si="1067"/>
        <v>15</v>
      </c>
      <c r="AW371" s="35"/>
      <c r="AX371" s="35"/>
      <c r="AY371" s="35"/>
      <c r="AZ371" s="39">
        <f t="shared" si="1068"/>
        <v>15</v>
      </c>
      <c r="BA371" s="35"/>
      <c r="BB371" s="35"/>
      <c r="BC371" s="35"/>
      <c r="BD371" s="39">
        <f t="shared" si="1069"/>
        <v>15</v>
      </c>
      <c r="BE371" s="35"/>
      <c r="BF371" s="35"/>
      <c r="BG371" s="35"/>
      <c r="BH371" s="39">
        <f t="shared" si="1070"/>
        <v>15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35"/>
      <c r="B372" s="36" t="s">
        <v>299</v>
      </c>
      <c r="C372" s="36">
        <v>20.0</v>
      </c>
      <c r="D372" s="36">
        <v>1273.0</v>
      </c>
      <c r="E372" s="36">
        <v>24.0</v>
      </c>
      <c r="F372" s="35">
        <f t="shared" si="1071"/>
        <v>25</v>
      </c>
      <c r="G372" s="63">
        <f t="shared" si="1072"/>
        <v>0.56</v>
      </c>
      <c r="H372" s="39">
        <v>14.0</v>
      </c>
      <c r="I372" s="39">
        <f t="shared" si="1073"/>
        <v>14</v>
      </c>
      <c r="J372" s="39"/>
      <c r="K372" s="35">
        <v>2027.0</v>
      </c>
      <c r="L372" s="35">
        <v>2025.0</v>
      </c>
      <c r="M372" s="35"/>
      <c r="N372" s="35"/>
      <c r="O372" s="35"/>
      <c r="P372" s="39">
        <f t="shared" si="1074"/>
        <v>14</v>
      </c>
      <c r="Q372" s="35"/>
      <c r="R372" s="35"/>
      <c r="S372" s="35"/>
      <c r="T372" s="39">
        <f t="shared" si="1060"/>
        <v>14</v>
      </c>
      <c r="U372" s="35"/>
      <c r="V372" s="35"/>
      <c r="W372" s="35"/>
      <c r="X372" s="39">
        <f t="shared" si="1061"/>
        <v>14</v>
      </c>
      <c r="Y372" s="35"/>
      <c r="Z372" s="35"/>
      <c r="AA372" s="35"/>
      <c r="AB372" s="39">
        <f t="shared" si="1062"/>
        <v>14</v>
      </c>
      <c r="AC372" s="35"/>
      <c r="AD372" s="35"/>
      <c r="AE372" s="35"/>
      <c r="AF372" s="39">
        <f t="shared" si="1063"/>
        <v>14</v>
      </c>
      <c r="AG372" s="35"/>
      <c r="AH372" s="35"/>
      <c r="AI372" s="35"/>
      <c r="AJ372" s="39">
        <f t="shared" si="1064"/>
        <v>14</v>
      </c>
      <c r="AK372" s="35"/>
      <c r="AL372" s="35"/>
      <c r="AM372" s="35"/>
      <c r="AN372" s="39">
        <f t="shared" si="1065"/>
        <v>14</v>
      </c>
      <c r="AO372" s="35"/>
      <c r="AP372" s="35"/>
      <c r="AQ372" s="35"/>
      <c r="AR372" s="39">
        <f t="shared" si="1066"/>
        <v>14</v>
      </c>
      <c r="AS372" s="35"/>
      <c r="AT372" s="35"/>
      <c r="AU372" s="35"/>
      <c r="AV372" s="39">
        <f t="shared" si="1067"/>
        <v>14</v>
      </c>
      <c r="AW372" s="35"/>
      <c r="AX372" s="35"/>
      <c r="AY372" s="35"/>
      <c r="AZ372" s="39">
        <f t="shared" si="1068"/>
        <v>14</v>
      </c>
      <c r="BA372" s="35"/>
      <c r="BB372" s="35"/>
      <c r="BC372" s="35"/>
      <c r="BD372" s="39">
        <f t="shared" si="1069"/>
        <v>14</v>
      </c>
      <c r="BE372" s="35"/>
      <c r="BF372" s="35"/>
      <c r="BG372" s="35"/>
      <c r="BH372" s="39">
        <f t="shared" si="1070"/>
        <v>14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1"/>
      <c r="B373" s="21"/>
      <c r="C373" s="21"/>
      <c r="D373" s="21"/>
      <c r="E373" s="21"/>
      <c r="F373" s="21"/>
      <c r="G373" s="21"/>
      <c r="H373" s="25"/>
      <c r="I373" s="25"/>
      <c r="J373" s="25"/>
      <c r="K373" s="21"/>
      <c r="L373" s="21"/>
      <c r="M373" s="25">
        <f t="shared" ref="M373:BH373" si="1075">SUM(M369:M372)</f>
        <v>0</v>
      </c>
      <c r="N373" s="25">
        <f t="shared" si="1075"/>
        <v>0</v>
      </c>
      <c r="O373" s="25">
        <f t="shared" si="1075"/>
        <v>0</v>
      </c>
      <c r="P373" s="25">
        <f t="shared" si="1075"/>
        <v>41</v>
      </c>
      <c r="Q373" s="25">
        <f t="shared" si="1075"/>
        <v>0</v>
      </c>
      <c r="R373" s="25">
        <f t="shared" si="1075"/>
        <v>0</v>
      </c>
      <c r="S373" s="25">
        <f t="shared" si="1075"/>
        <v>0</v>
      </c>
      <c r="T373" s="25">
        <f t="shared" si="1075"/>
        <v>41</v>
      </c>
      <c r="U373" s="25">
        <f t="shared" si="1075"/>
        <v>0</v>
      </c>
      <c r="V373" s="25">
        <f t="shared" si="1075"/>
        <v>0</v>
      </c>
      <c r="W373" s="25">
        <f t="shared" si="1075"/>
        <v>0</v>
      </c>
      <c r="X373" s="25">
        <f t="shared" si="1075"/>
        <v>41</v>
      </c>
      <c r="Y373" s="25">
        <f t="shared" si="1075"/>
        <v>0</v>
      </c>
      <c r="Z373" s="25">
        <f t="shared" si="1075"/>
        <v>0</v>
      </c>
      <c r="AA373" s="25">
        <f t="shared" si="1075"/>
        <v>0</v>
      </c>
      <c r="AB373" s="25">
        <f t="shared" si="1075"/>
        <v>41</v>
      </c>
      <c r="AC373" s="25">
        <f t="shared" si="1075"/>
        <v>0</v>
      </c>
      <c r="AD373" s="25">
        <f t="shared" si="1075"/>
        <v>0</v>
      </c>
      <c r="AE373" s="25">
        <f t="shared" si="1075"/>
        <v>0</v>
      </c>
      <c r="AF373" s="25">
        <f t="shared" si="1075"/>
        <v>41</v>
      </c>
      <c r="AG373" s="25">
        <f t="shared" si="1075"/>
        <v>0</v>
      </c>
      <c r="AH373" s="25">
        <f t="shared" si="1075"/>
        <v>0</v>
      </c>
      <c r="AI373" s="25">
        <f t="shared" si="1075"/>
        <v>0</v>
      </c>
      <c r="AJ373" s="25">
        <f t="shared" si="1075"/>
        <v>41</v>
      </c>
      <c r="AK373" s="25">
        <f t="shared" si="1075"/>
        <v>0</v>
      </c>
      <c r="AL373" s="25">
        <f t="shared" si="1075"/>
        <v>0</v>
      </c>
      <c r="AM373" s="25">
        <f t="shared" si="1075"/>
        <v>0</v>
      </c>
      <c r="AN373" s="25">
        <f t="shared" si="1075"/>
        <v>41</v>
      </c>
      <c r="AO373" s="25">
        <f t="shared" si="1075"/>
        <v>0</v>
      </c>
      <c r="AP373" s="25">
        <f t="shared" si="1075"/>
        <v>0</v>
      </c>
      <c r="AQ373" s="25">
        <f t="shared" si="1075"/>
        <v>0</v>
      </c>
      <c r="AR373" s="25">
        <f t="shared" si="1075"/>
        <v>41</v>
      </c>
      <c r="AS373" s="25">
        <f t="shared" si="1075"/>
        <v>0</v>
      </c>
      <c r="AT373" s="25">
        <f t="shared" si="1075"/>
        <v>0</v>
      </c>
      <c r="AU373" s="25">
        <f t="shared" si="1075"/>
        <v>0</v>
      </c>
      <c r="AV373" s="25">
        <f t="shared" si="1075"/>
        <v>41</v>
      </c>
      <c r="AW373" s="25">
        <f t="shared" si="1075"/>
        <v>0</v>
      </c>
      <c r="AX373" s="25">
        <f t="shared" si="1075"/>
        <v>0</v>
      </c>
      <c r="AY373" s="25">
        <f t="shared" si="1075"/>
        <v>0</v>
      </c>
      <c r="AZ373" s="25">
        <f t="shared" si="1075"/>
        <v>41</v>
      </c>
      <c r="BA373" s="25">
        <f t="shared" si="1075"/>
        <v>0</v>
      </c>
      <c r="BB373" s="25">
        <f t="shared" si="1075"/>
        <v>0</v>
      </c>
      <c r="BC373" s="25">
        <f t="shared" si="1075"/>
        <v>0</v>
      </c>
      <c r="BD373" s="25">
        <f t="shared" si="1075"/>
        <v>41</v>
      </c>
      <c r="BE373" s="25">
        <f t="shared" si="1075"/>
        <v>3</v>
      </c>
      <c r="BF373" s="25">
        <f t="shared" si="1075"/>
        <v>1</v>
      </c>
      <c r="BG373" s="25">
        <f t="shared" si="1075"/>
        <v>0</v>
      </c>
      <c r="BH373" s="25">
        <f t="shared" si="1075"/>
        <v>45</v>
      </c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21" t="s">
        <v>35</v>
      </c>
      <c r="C374" s="21">
        <f>COUNT(C370:C372)</f>
        <v>3</v>
      </c>
      <c r="D374" s="21"/>
      <c r="E374" s="21">
        <f>SUM(E369:E372)</f>
        <v>91</v>
      </c>
      <c r="F374" s="21">
        <f>SUM(E369:E372)+1</f>
        <v>92</v>
      </c>
      <c r="G374" s="22">
        <f>$BH373/F374</f>
        <v>0.4891304348</v>
      </c>
      <c r="H374" s="25">
        <f t="shared" ref="H374:J374" si="1076">SUM(H369:H372)</f>
        <v>41</v>
      </c>
      <c r="I374" s="25">
        <f t="shared" si="1076"/>
        <v>41</v>
      </c>
      <c r="J374" s="25">
        <f t="shared" si="1076"/>
        <v>0</v>
      </c>
      <c r="K374" s="21"/>
      <c r="L374" s="21"/>
      <c r="M374" s="21"/>
      <c r="N374" s="21"/>
      <c r="O374" s="21"/>
      <c r="P374" s="22">
        <f>P373/F374</f>
        <v>0.4456521739</v>
      </c>
      <c r="Q374" s="25">
        <f t="shared" ref="Q374:S374" si="1077">M373+Q373</f>
        <v>0</v>
      </c>
      <c r="R374" s="25">
        <f t="shared" si="1077"/>
        <v>0</v>
      </c>
      <c r="S374" s="25">
        <f t="shared" si="1077"/>
        <v>0</v>
      </c>
      <c r="T374" s="22">
        <f>T373/F374</f>
        <v>0.4456521739</v>
      </c>
      <c r="U374" s="25">
        <f t="shared" ref="U374:W374" si="1078">Q374+U373</f>
        <v>0</v>
      </c>
      <c r="V374" s="25">
        <f t="shared" si="1078"/>
        <v>0</v>
      </c>
      <c r="W374" s="25">
        <f t="shared" si="1078"/>
        <v>0</v>
      </c>
      <c r="X374" s="22">
        <f>X373/F374</f>
        <v>0.4456521739</v>
      </c>
      <c r="Y374" s="25">
        <f t="shared" ref="Y374:AA374" si="1079">U374+Y373</f>
        <v>0</v>
      </c>
      <c r="Z374" s="25">
        <f t="shared" si="1079"/>
        <v>0</v>
      </c>
      <c r="AA374" s="25">
        <f t="shared" si="1079"/>
        <v>0</v>
      </c>
      <c r="AB374" s="22">
        <f>AB373/F374</f>
        <v>0.4456521739</v>
      </c>
      <c r="AC374" s="25">
        <f t="shared" ref="AC374:AE374" si="1080">Y374+AC373</f>
        <v>0</v>
      </c>
      <c r="AD374" s="25">
        <f t="shared" si="1080"/>
        <v>0</v>
      </c>
      <c r="AE374" s="25">
        <f t="shared" si="1080"/>
        <v>0</v>
      </c>
      <c r="AF374" s="22">
        <f>AF373/F374</f>
        <v>0.4456521739</v>
      </c>
      <c r="AG374" s="25">
        <f t="shared" ref="AG374:AI374" si="1081">AC374+AG373</f>
        <v>0</v>
      </c>
      <c r="AH374" s="25">
        <f t="shared" si="1081"/>
        <v>0</v>
      </c>
      <c r="AI374" s="25">
        <f t="shared" si="1081"/>
        <v>0</v>
      </c>
      <c r="AJ374" s="22">
        <f>AJ373/F374</f>
        <v>0.4456521739</v>
      </c>
      <c r="AK374" s="25">
        <f t="shared" ref="AK374:AM374" si="1082">AG374+AK373</f>
        <v>0</v>
      </c>
      <c r="AL374" s="25">
        <f t="shared" si="1082"/>
        <v>0</v>
      </c>
      <c r="AM374" s="25">
        <f t="shared" si="1082"/>
        <v>0</v>
      </c>
      <c r="AN374" s="22">
        <f>AN373/F374</f>
        <v>0.4456521739</v>
      </c>
      <c r="AO374" s="25">
        <f t="shared" ref="AO374:AQ374" si="1083">AK374+AO373</f>
        <v>0</v>
      </c>
      <c r="AP374" s="25">
        <f t="shared" si="1083"/>
        <v>0</v>
      </c>
      <c r="AQ374" s="25">
        <f t="shared" si="1083"/>
        <v>0</v>
      </c>
      <c r="AR374" s="22">
        <f>AR373/F374</f>
        <v>0.4456521739</v>
      </c>
      <c r="AS374" s="25">
        <f t="shared" ref="AS374:AU374" si="1084">AO374+AS373</f>
        <v>0</v>
      </c>
      <c r="AT374" s="25">
        <f t="shared" si="1084"/>
        <v>0</v>
      </c>
      <c r="AU374" s="25">
        <f t="shared" si="1084"/>
        <v>0</v>
      </c>
      <c r="AV374" s="22">
        <f>AV373/F374</f>
        <v>0.4456521739</v>
      </c>
      <c r="AW374" s="25">
        <f t="shared" ref="AW374:AY374" si="1085">AS374+AW373</f>
        <v>0</v>
      </c>
      <c r="AX374" s="25">
        <f t="shared" si="1085"/>
        <v>0</v>
      </c>
      <c r="AY374" s="25">
        <f t="shared" si="1085"/>
        <v>0</v>
      </c>
      <c r="AZ374" s="22">
        <f>AZ373/F374</f>
        <v>0.4456521739</v>
      </c>
      <c r="BA374" s="25">
        <f t="shared" ref="BA374:BC374" si="1086">AW374+BA373</f>
        <v>0</v>
      </c>
      <c r="BB374" s="25">
        <f t="shared" si="1086"/>
        <v>0</v>
      </c>
      <c r="BC374" s="25">
        <f t="shared" si="1086"/>
        <v>0</v>
      </c>
      <c r="BD374" s="22">
        <f>BD373/F374</f>
        <v>0.4456521739</v>
      </c>
      <c r="BE374" s="25">
        <f t="shared" ref="BE374:BG374" si="1087">BA374+BE373</f>
        <v>3</v>
      </c>
      <c r="BF374" s="25">
        <f t="shared" si="1087"/>
        <v>1</v>
      </c>
      <c r="BG374" s="25">
        <f t="shared" si="1087"/>
        <v>0</v>
      </c>
      <c r="BH374" s="22">
        <f>BH373/F374</f>
        <v>0.4891304348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7"/>
      <c r="B375" s="24"/>
      <c r="C375" s="24"/>
      <c r="D375" s="24"/>
      <c r="E375" s="136"/>
      <c r="F375" s="24"/>
      <c r="G375" s="28"/>
      <c r="H375" s="23"/>
      <c r="I375" s="23"/>
      <c r="J375" s="23"/>
      <c r="K375" s="24"/>
      <c r="L375" s="24"/>
      <c r="M375" s="24"/>
      <c r="N375" s="24"/>
      <c r="O375" s="24"/>
      <c r="P375" s="23"/>
      <c r="Q375" s="24"/>
      <c r="R375" s="24"/>
      <c r="S375" s="24"/>
      <c r="T375" s="21"/>
      <c r="U375" s="24"/>
      <c r="V375" s="24"/>
      <c r="W375" s="24"/>
      <c r="X375" s="21"/>
      <c r="Y375" s="24"/>
      <c r="Z375" s="24"/>
      <c r="AA375" s="24"/>
      <c r="AB375" s="21"/>
      <c r="AC375" s="24"/>
      <c r="AD375" s="24"/>
      <c r="AE375" s="24"/>
      <c r="AF375" s="21"/>
      <c r="AG375" s="24"/>
      <c r="AH375" s="24"/>
      <c r="AI375" s="24"/>
      <c r="AJ375" s="21"/>
      <c r="AK375" s="24"/>
      <c r="AL375" s="24"/>
      <c r="AM375" s="24"/>
      <c r="AN375" s="21"/>
      <c r="AO375" s="24"/>
      <c r="AP375" s="24"/>
      <c r="AQ375" s="24"/>
      <c r="AR375" s="21"/>
      <c r="AS375" s="24"/>
      <c r="AT375" s="24"/>
      <c r="AU375" s="24"/>
      <c r="AV375" s="21"/>
      <c r="AW375" s="24"/>
      <c r="AX375" s="24"/>
      <c r="AY375" s="24"/>
      <c r="AZ375" s="21"/>
      <c r="BA375" s="24"/>
      <c r="BB375" s="24"/>
      <c r="BC375" s="24"/>
      <c r="BD375" s="21"/>
      <c r="BE375" s="24"/>
      <c r="BF375" s="24"/>
      <c r="BG375" s="24"/>
      <c r="BH375" s="21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7" t="s">
        <v>300</v>
      </c>
      <c r="B376" s="24"/>
      <c r="C376" s="24"/>
      <c r="D376" s="24"/>
      <c r="E376" s="136"/>
      <c r="F376" s="24"/>
      <c r="G376" s="28"/>
      <c r="H376" s="23"/>
      <c r="I376" s="23"/>
      <c r="J376" s="23"/>
      <c r="K376" s="24">
        <v>2025.0</v>
      </c>
      <c r="L376" s="24">
        <v>2025.0</v>
      </c>
      <c r="M376" s="24"/>
      <c r="N376" s="24"/>
      <c r="O376" s="24"/>
      <c r="P376" s="23"/>
      <c r="Q376" s="24"/>
      <c r="R376" s="24"/>
      <c r="S376" s="24"/>
      <c r="T376" s="21"/>
      <c r="U376" s="24"/>
      <c r="V376" s="24"/>
      <c r="W376" s="24"/>
      <c r="X376" s="21"/>
      <c r="Y376" s="24"/>
      <c r="Z376" s="24"/>
      <c r="AA376" s="24"/>
      <c r="AB376" s="21"/>
      <c r="AC376" s="24"/>
      <c r="AD376" s="24"/>
      <c r="AE376" s="24"/>
      <c r="AF376" s="21"/>
      <c r="AG376" s="24"/>
      <c r="AH376" s="24"/>
      <c r="AI376" s="24"/>
      <c r="AJ376" s="21"/>
      <c r="AK376" s="24"/>
      <c r="AL376" s="24"/>
      <c r="AM376" s="24"/>
      <c r="AN376" s="21"/>
      <c r="AO376" s="24"/>
      <c r="AP376" s="24"/>
      <c r="AQ376" s="24"/>
      <c r="AR376" s="21"/>
      <c r="AS376" s="24"/>
      <c r="AT376" s="24"/>
      <c r="AU376" s="24"/>
      <c r="AV376" s="21"/>
      <c r="AW376" s="24"/>
      <c r="AX376" s="24"/>
      <c r="AY376" s="24"/>
      <c r="AZ376" s="21"/>
      <c r="BA376" s="24"/>
      <c r="BB376" s="24"/>
      <c r="BC376" s="24"/>
      <c r="BD376" s="21"/>
      <c r="BE376" s="24"/>
      <c r="BF376" s="24"/>
      <c r="BG376" s="24"/>
      <c r="BH376" s="21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49" t="s">
        <v>301</v>
      </c>
      <c r="C377" s="49">
        <v>4.0</v>
      </c>
      <c r="D377" s="49">
        <v>4895.0</v>
      </c>
      <c r="E377" s="49">
        <v>37.0</v>
      </c>
      <c r="F377" s="21">
        <f t="shared" ref="F377:F379" si="1088">E377+1</f>
        <v>38</v>
      </c>
      <c r="G377" s="28">
        <f t="shared" ref="G377:G379" si="1089">$BH377/F377</f>
        <v>0.5</v>
      </c>
      <c r="H377" s="23">
        <v>16.0</v>
      </c>
      <c r="I377" s="23">
        <f t="shared" ref="I377:I379" si="1090">+H377+J377</f>
        <v>19</v>
      </c>
      <c r="J377" s="25">
        <v>3.0</v>
      </c>
      <c r="K377" s="24">
        <v>2027.0</v>
      </c>
      <c r="L377" s="24">
        <v>2025.0</v>
      </c>
      <c r="M377" s="21"/>
      <c r="N377" s="21">
        <v>2.0</v>
      </c>
      <c r="O377" s="21"/>
      <c r="P377" s="25">
        <f t="shared" ref="P377:P379" si="1091">SUM(M377:O377)+H377</f>
        <v>18</v>
      </c>
      <c r="Q377" s="21">
        <v>1.0</v>
      </c>
      <c r="R377" s="21"/>
      <c r="S377" s="21"/>
      <c r="T377" s="25">
        <f t="shared" ref="T377:T379" si="1092">SUM(P377:S377)</f>
        <v>19</v>
      </c>
      <c r="U377" s="21"/>
      <c r="V377" s="21"/>
      <c r="W377" s="21"/>
      <c r="X377" s="25">
        <f t="shared" ref="X377:X379" si="1093">SUM(T377:W377)</f>
        <v>19</v>
      </c>
      <c r="Y377" s="21"/>
      <c r="Z377" s="21"/>
      <c r="AA377" s="21"/>
      <c r="AB377" s="25">
        <f t="shared" ref="AB377:AB379" si="1094">SUM(X377:AA377)</f>
        <v>19</v>
      </c>
      <c r="AC377" s="21"/>
      <c r="AD377" s="21"/>
      <c r="AE377" s="21"/>
      <c r="AF377" s="25">
        <f t="shared" ref="AF377:AF379" si="1095">SUM(AB377:AE377)</f>
        <v>19</v>
      </c>
      <c r="AG377" s="21"/>
      <c r="AH377" s="21"/>
      <c r="AI377" s="21"/>
      <c r="AJ377" s="25">
        <f t="shared" ref="AJ377:AJ379" si="1096">SUM(AF377:AI377)</f>
        <v>19</v>
      </c>
      <c r="AK377" s="21"/>
      <c r="AL377" s="21"/>
      <c r="AM377" s="21"/>
      <c r="AN377" s="25">
        <f t="shared" ref="AN377:AN379" si="1097">SUM(AJ377:AM377)</f>
        <v>19</v>
      </c>
      <c r="AO377" s="21"/>
      <c r="AP377" s="21"/>
      <c r="AQ377" s="21"/>
      <c r="AR377" s="25">
        <f t="shared" ref="AR377:AR379" si="1098">SUM(AN377:AQ377)</f>
        <v>19</v>
      </c>
      <c r="AS377" s="21"/>
      <c r="AT377" s="21"/>
      <c r="AU377" s="21"/>
      <c r="AV377" s="25">
        <f t="shared" ref="AV377:AV379" si="1099">SUM(AR377:AU377)</f>
        <v>19</v>
      </c>
      <c r="AW377" s="21"/>
      <c r="AX377" s="21"/>
      <c r="AY377" s="21"/>
      <c r="AZ377" s="25">
        <f t="shared" ref="AZ377:AZ379" si="1100">SUM(AV377:AY377)</f>
        <v>19</v>
      </c>
      <c r="BA377" s="21"/>
      <c r="BB377" s="21"/>
      <c r="BC377" s="21"/>
      <c r="BD377" s="25">
        <f t="shared" ref="BD377:BD379" si="1101">SUM(AZ377:BC377)</f>
        <v>19</v>
      </c>
      <c r="BE377" s="21"/>
      <c r="BF377" s="21"/>
      <c r="BG377" s="21"/>
      <c r="BH377" s="25">
        <f t="shared" ref="BH377:BH379" si="1102">SUM(BD377:BG377)</f>
        <v>19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49" t="s">
        <v>302</v>
      </c>
      <c r="C378" s="49">
        <v>5.0</v>
      </c>
      <c r="D378" s="49">
        <v>8422.0</v>
      </c>
      <c r="E378" s="49">
        <v>43.0</v>
      </c>
      <c r="F378" s="21">
        <f t="shared" si="1088"/>
        <v>44</v>
      </c>
      <c r="G378" s="28">
        <f t="shared" si="1089"/>
        <v>0.9772727273</v>
      </c>
      <c r="H378" s="23">
        <v>29.0</v>
      </c>
      <c r="I378" s="23">
        <f t="shared" si="1090"/>
        <v>31</v>
      </c>
      <c r="J378" s="25">
        <v>2.0</v>
      </c>
      <c r="K378" s="24">
        <v>2027.0</v>
      </c>
      <c r="L378" s="24">
        <v>2025.0</v>
      </c>
      <c r="M378" s="21"/>
      <c r="N378" s="21"/>
      <c r="O378" s="21"/>
      <c r="P378" s="25">
        <f t="shared" si="1091"/>
        <v>29</v>
      </c>
      <c r="Q378" s="21"/>
      <c r="R378" s="21"/>
      <c r="S378" s="21"/>
      <c r="T378" s="25">
        <f t="shared" si="1092"/>
        <v>29</v>
      </c>
      <c r="U378" s="21"/>
      <c r="V378" s="21"/>
      <c r="W378" s="21"/>
      <c r="X378" s="25">
        <f t="shared" si="1093"/>
        <v>29</v>
      </c>
      <c r="Y378" s="21"/>
      <c r="Z378" s="21"/>
      <c r="AA378" s="21"/>
      <c r="AB378" s="25">
        <f t="shared" si="1094"/>
        <v>29</v>
      </c>
      <c r="AC378" s="21"/>
      <c r="AD378" s="21"/>
      <c r="AE378" s="21"/>
      <c r="AF378" s="25">
        <f t="shared" si="1095"/>
        <v>29</v>
      </c>
      <c r="AG378" s="21"/>
      <c r="AH378" s="21"/>
      <c r="AI378" s="21"/>
      <c r="AJ378" s="25">
        <f t="shared" si="1096"/>
        <v>29</v>
      </c>
      <c r="AK378" s="21"/>
      <c r="AL378" s="21"/>
      <c r="AM378" s="21"/>
      <c r="AN378" s="25">
        <f t="shared" si="1097"/>
        <v>29</v>
      </c>
      <c r="AO378" s="18">
        <v>3.0</v>
      </c>
      <c r="AP378" s="18">
        <v>11.0</v>
      </c>
      <c r="AQ378" s="21"/>
      <c r="AR378" s="25">
        <f t="shared" si="1098"/>
        <v>43</v>
      </c>
      <c r="AS378" s="21"/>
      <c r="AT378" s="21"/>
      <c r="AU378" s="21"/>
      <c r="AV378" s="25">
        <f t="shared" si="1099"/>
        <v>43</v>
      </c>
      <c r="AW378" s="21"/>
      <c r="AX378" s="21"/>
      <c r="AY378" s="21"/>
      <c r="AZ378" s="25">
        <f t="shared" si="1100"/>
        <v>43</v>
      </c>
      <c r="BA378" s="21"/>
      <c r="BB378" s="21"/>
      <c r="BC378" s="21"/>
      <c r="BD378" s="25">
        <f t="shared" si="1101"/>
        <v>43</v>
      </c>
      <c r="BE378" s="21"/>
      <c r="BF378" s="21"/>
      <c r="BG378" s="21"/>
      <c r="BH378" s="25">
        <f t="shared" si="1102"/>
        <v>43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35"/>
      <c r="B379" s="36" t="s">
        <v>303</v>
      </c>
      <c r="C379" s="36">
        <v>26.0</v>
      </c>
      <c r="D379" s="36">
        <v>7175.0</v>
      </c>
      <c r="E379" s="36">
        <v>25.0</v>
      </c>
      <c r="F379" s="21">
        <f t="shared" si="1088"/>
        <v>26</v>
      </c>
      <c r="G379" s="37">
        <f t="shared" si="1089"/>
        <v>0.6153846154</v>
      </c>
      <c r="H379" s="38">
        <v>16.0</v>
      </c>
      <c r="I379" s="38">
        <f t="shared" si="1090"/>
        <v>16</v>
      </c>
      <c r="J379" s="39"/>
      <c r="K379" s="40">
        <v>2025.0</v>
      </c>
      <c r="L379" s="40">
        <v>2025.0</v>
      </c>
      <c r="M379" s="35"/>
      <c r="N379" s="35"/>
      <c r="O379" s="35"/>
      <c r="P379" s="39">
        <f t="shared" si="1091"/>
        <v>16</v>
      </c>
      <c r="Q379" s="35"/>
      <c r="R379" s="35"/>
      <c r="S379" s="35"/>
      <c r="T379" s="39">
        <f t="shared" si="1092"/>
        <v>16</v>
      </c>
      <c r="U379" s="35"/>
      <c r="V379" s="35"/>
      <c r="W379" s="35"/>
      <c r="X379" s="39">
        <f t="shared" si="1093"/>
        <v>16</v>
      </c>
      <c r="Y379" s="35"/>
      <c r="Z379" s="35"/>
      <c r="AA379" s="35"/>
      <c r="AB379" s="39">
        <f t="shared" si="1094"/>
        <v>16</v>
      </c>
      <c r="AC379" s="35"/>
      <c r="AD379" s="35"/>
      <c r="AE379" s="35"/>
      <c r="AF379" s="39">
        <f t="shared" si="1095"/>
        <v>16</v>
      </c>
      <c r="AG379" s="35"/>
      <c r="AH379" s="35"/>
      <c r="AI379" s="35"/>
      <c r="AJ379" s="39">
        <f t="shared" si="1096"/>
        <v>16</v>
      </c>
      <c r="AK379" s="35"/>
      <c r="AL379" s="35"/>
      <c r="AM379" s="35"/>
      <c r="AN379" s="39">
        <f t="shared" si="1097"/>
        <v>16</v>
      </c>
      <c r="AO379" s="35"/>
      <c r="AP379" s="35"/>
      <c r="AQ379" s="35"/>
      <c r="AR379" s="39">
        <f t="shared" si="1098"/>
        <v>16</v>
      </c>
      <c r="AS379" s="35"/>
      <c r="AT379" s="35"/>
      <c r="AU379" s="35"/>
      <c r="AV379" s="39">
        <f t="shared" si="1099"/>
        <v>16</v>
      </c>
      <c r="AW379" s="35"/>
      <c r="AX379" s="35"/>
      <c r="AY379" s="35"/>
      <c r="AZ379" s="39">
        <f t="shared" si="1100"/>
        <v>16</v>
      </c>
      <c r="BA379" s="35"/>
      <c r="BB379" s="35"/>
      <c r="BC379" s="35"/>
      <c r="BD379" s="39">
        <f t="shared" si="1101"/>
        <v>16</v>
      </c>
      <c r="BE379" s="35"/>
      <c r="BF379" s="35"/>
      <c r="BG379" s="35"/>
      <c r="BH379" s="39">
        <f t="shared" si="1102"/>
        <v>16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21"/>
      <c r="B380" s="21"/>
      <c r="C380" s="21"/>
      <c r="D380" s="21"/>
      <c r="E380" s="21"/>
      <c r="F380" s="21"/>
      <c r="G380" s="21"/>
      <c r="H380" s="25"/>
      <c r="I380" s="25"/>
      <c r="J380" s="25"/>
      <c r="K380" s="21"/>
      <c r="L380" s="21"/>
      <c r="M380" s="21">
        <f t="shared" ref="M380:O380" si="1103">SUM(M377:M379)</f>
        <v>0</v>
      </c>
      <c r="N380" s="21">
        <f t="shared" si="1103"/>
        <v>2</v>
      </c>
      <c r="O380" s="21">
        <f t="shared" si="1103"/>
        <v>0</v>
      </c>
      <c r="P380" s="25">
        <f t="shared" ref="P380:BH380" si="1104">SUM(P376:P379)</f>
        <v>63</v>
      </c>
      <c r="Q380" s="25">
        <f t="shared" si="1104"/>
        <v>1</v>
      </c>
      <c r="R380" s="25">
        <f t="shared" si="1104"/>
        <v>0</v>
      </c>
      <c r="S380" s="25">
        <f t="shared" si="1104"/>
        <v>0</v>
      </c>
      <c r="T380" s="25">
        <f t="shared" si="1104"/>
        <v>64</v>
      </c>
      <c r="U380" s="25">
        <f t="shared" si="1104"/>
        <v>0</v>
      </c>
      <c r="V380" s="25">
        <f t="shared" si="1104"/>
        <v>0</v>
      </c>
      <c r="W380" s="25">
        <f t="shared" si="1104"/>
        <v>0</v>
      </c>
      <c r="X380" s="25">
        <f t="shared" si="1104"/>
        <v>64</v>
      </c>
      <c r="Y380" s="25">
        <f t="shared" si="1104"/>
        <v>0</v>
      </c>
      <c r="Z380" s="25">
        <f t="shared" si="1104"/>
        <v>0</v>
      </c>
      <c r="AA380" s="25">
        <f t="shared" si="1104"/>
        <v>0</v>
      </c>
      <c r="AB380" s="25">
        <f t="shared" si="1104"/>
        <v>64</v>
      </c>
      <c r="AC380" s="25">
        <f t="shared" si="1104"/>
        <v>0</v>
      </c>
      <c r="AD380" s="25">
        <f t="shared" si="1104"/>
        <v>0</v>
      </c>
      <c r="AE380" s="25">
        <f t="shared" si="1104"/>
        <v>0</v>
      </c>
      <c r="AF380" s="25">
        <f t="shared" si="1104"/>
        <v>64</v>
      </c>
      <c r="AG380" s="25">
        <f t="shared" si="1104"/>
        <v>0</v>
      </c>
      <c r="AH380" s="25">
        <f t="shared" si="1104"/>
        <v>0</v>
      </c>
      <c r="AI380" s="25">
        <f t="shared" si="1104"/>
        <v>0</v>
      </c>
      <c r="AJ380" s="25">
        <f t="shared" si="1104"/>
        <v>64</v>
      </c>
      <c r="AK380" s="25">
        <f t="shared" si="1104"/>
        <v>0</v>
      </c>
      <c r="AL380" s="25">
        <f t="shared" si="1104"/>
        <v>0</v>
      </c>
      <c r="AM380" s="25">
        <f t="shared" si="1104"/>
        <v>0</v>
      </c>
      <c r="AN380" s="25">
        <f t="shared" si="1104"/>
        <v>64</v>
      </c>
      <c r="AO380" s="25">
        <f t="shared" si="1104"/>
        <v>3</v>
      </c>
      <c r="AP380" s="25">
        <f t="shared" si="1104"/>
        <v>11</v>
      </c>
      <c r="AQ380" s="25">
        <f t="shared" si="1104"/>
        <v>0</v>
      </c>
      <c r="AR380" s="25">
        <f t="shared" si="1104"/>
        <v>78</v>
      </c>
      <c r="AS380" s="25">
        <f t="shared" si="1104"/>
        <v>0</v>
      </c>
      <c r="AT380" s="25">
        <f t="shared" si="1104"/>
        <v>0</v>
      </c>
      <c r="AU380" s="25">
        <f t="shared" si="1104"/>
        <v>0</v>
      </c>
      <c r="AV380" s="25">
        <f t="shared" si="1104"/>
        <v>78</v>
      </c>
      <c r="AW380" s="25">
        <f t="shared" si="1104"/>
        <v>0</v>
      </c>
      <c r="AX380" s="25">
        <f t="shared" si="1104"/>
        <v>0</v>
      </c>
      <c r="AY380" s="25">
        <f t="shared" si="1104"/>
        <v>0</v>
      </c>
      <c r="AZ380" s="25">
        <f t="shared" si="1104"/>
        <v>78</v>
      </c>
      <c r="BA380" s="25">
        <f t="shared" si="1104"/>
        <v>0</v>
      </c>
      <c r="BB380" s="25">
        <f t="shared" si="1104"/>
        <v>0</v>
      </c>
      <c r="BC380" s="25">
        <f t="shared" si="1104"/>
        <v>0</v>
      </c>
      <c r="BD380" s="25">
        <f t="shared" si="1104"/>
        <v>78</v>
      </c>
      <c r="BE380" s="25">
        <f t="shared" si="1104"/>
        <v>0</v>
      </c>
      <c r="BF380" s="25">
        <f t="shared" si="1104"/>
        <v>0</v>
      </c>
      <c r="BG380" s="25">
        <f t="shared" si="1104"/>
        <v>0</v>
      </c>
      <c r="BH380" s="25">
        <f t="shared" si="1104"/>
        <v>78</v>
      </c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21" t="s">
        <v>35</v>
      </c>
      <c r="C381" s="21">
        <f>COUNT(C377:C379)</f>
        <v>3</v>
      </c>
      <c r="D381" s="21"/>
      <c r="E381" s="21">
        <f>SUM(E376:E379)</f>
        <v>105</v>
      </c>
      <c r="F381" s="21">
        <f>SUM(E376:E379)+1</f>
        <v>106</v>
      </c>
      <c r="G381" s="22">
        <f>$BH380/F381</f>
        <v>0.7358490566</v>
      </c>
      <c r="H381" s="25">
        <f t="shared" ref="H381:J381" si="1105">SUM(H376:H379)</f>
        <v>61</v>
      </c>
      <c r="I381" s="25">
        <f t="shared" si="1105"/>
        <v>66</v>
      </c>
      <c r="J381" s="25">
        <f t="shared" si="1105"/>
        <v>5</v>
      </c>
      <c r="K381" s="21"/>
      <c r="L381" s="21"/>
      <c r="M381" s="21"/>
      <c r="N381" s="21"/>
      <c r="O381" s="21"/>
      <c r="P381" s="22">
        <f>P380/F381</f>
        <v>0.5943396226</v>
      </c>
      <c r="Q381" s="25">
        <f t="shared" ref="Q381:S381" si="1106">M380+Q380</f>
        <v>1</v>
      </c>
      <c r="R381" s="25">
        <f t="shared" si="1106"/>
        <v>2</v>
      </c>
      <c r="S381" s="25">
        <f t="shared" si="1106"/>
        <v>0</v>
      </c>
      <c r="T381" s="22">
        <f>T380/F381</f>
        <v>0.6037735849</v>
      </c>
      <c r="U381" s="25">
        <f t="shared" ref="U381:W381" si="1107">Q381+U380</f>
        <v>1</v>
      </c>
      <c r="V381" s="25">
        <f t="shared" si="1107"/>
        <v>2</v>
      </c>
      <c r="W381" s="25">
        <f t="shared" si="1107"/>
        <v>0</v>
      </c>
      <c r="X381" s="22">
        <f>X380/F381</f>
        <v>0.6037735849</v>
      </c>
      <c r="Y381" s="25">
        <f t="shared" ref="Y381:AA381" si="1108">U381+Y380</f>
        <v>1</v>
      </c>
      <c r="Z381" s="25">
        <f t="shared" si="1108"/>
        <v>2</v>
      </c>
      <c r="AA381" s="25">
        <f t="shared" si="1108"/>
        <v>0</v>
      </c>
      <c r="AB381" s="22">
        <f>AB380/F381</f>
        <v>0.6037735849</v>
      </c>
      <c r="AC381" s="25">
        <f t="shared" ref="AC381:AE381" si="1109">Y381+AC380</f>
        <v>1</v>
      </c>
      <c r="AD381" s="25">
        <f t="shared" si="1109"/>
        <v>2</v>
      </c>
      <c r="AE381" s="25">
        <f t="shared" si="1109"/>
        <v>0</v>
      </c>
      <c r="AF381" s="22">
        <f>AF380/F381</f>
        <v>0.6037735849</v>
      </c>
      <c r="AG381" s="25">
        <f t="shared" ref="AG381:AI381" si="1110">AC381+AG380</f>
        <v>1</v>
      </c>
      <c r="AH381" s="25">
        <f t="shared" si="1110"/>
        <v>2</v>
      </c>
      <c r="AI381" s="25">
        <f t="shared" si="1110"/>
        <v>0</v>
      </c>
      <c r="AJ381" s="22">
        <f>AJ380/F381</f>
        <v>0.6037735849</v>
      </c>
      <c r="AK381" s="25">
        <f t="shared" ref="AK381:AM381" si="1111">AG381+AK380</f>
        <v>1</v>
      </c>
      <c r="AL381" s="25">
        <f t="shared" si="1111"/>
        <v>2</v>
      </c>
      <c r="AM381" s="25">
        <f t="shared" si="1111"/>
        <v>0</v>
      </c>
      <c r="AN381" s="22">
        <f>AN380/F381</f>
        <v>0.6037735849</v>
      </c>
      <c r="AO381" s="25">
        <f t="shared" ref="AO381:AQ381" si="1112">AK381+AO380</f>
        <v>4</v>
      </c>
      <c r="AP381" s="25">
        <f t="shared" si="1112"/>
        <v>13</v>
      </c>
      <c r="AQ381" s="25">
        <f t="shared" si="1112"/>
        <v>0</v>
      </c>
      <c r="AR381" s="22">
        <f>AR380/F381</f>
        <v>0.7358490566</v>
      </c>
      <c r="AS381" s="25">
        <f t="shared" ref="AS381:AU381" si="1113">AO381+AS380</f>
        <v>4</v>
      </c>
      <c r="AT381" s="25">
        <f t="shared" si="1113"/>
        <v>13</v>
      </c>
      <c r="AU381" s="25">
        <f t="shared" si="1113"/>
        <v>0</v>
      </c>
      <c r="AV381" s="22">
        <f>AV380/F381</f>
        <v>0.7358490566</v>
      </c>
      <c r="AW381" s="25">
        <f t="shared" ref="AW381:AY381" si="1114">AS381+AW380</f>
        <v>4</v>
      </c>
      <c r="AX381" s="25">
        <f t="shared" si="1114"/>
        <v>13</v>
      </c>
      <c r="AY381" s="25">
        <f t="shared" si="1114"/>
        <v>0</v>
      </c>
      <c r="AZ381" s="22">
        <f>AZ380/F381</f>
        <v>0.7358490566</v>
      </c>
      <c r="BA381" s="25">
        <f t="shared" ref="BA381:BC381" si="1115">AW381+BA380</f>
        <v>4</v>
      </c>
      <c r="BB381" s="25">
        <f t="shared" si="1115"/>
        <v>13</v>
      </c>
      <c r="BC381" s="25">
        <f t="shared" si="1115"/>
        <v>0</v>
      </c>
      <c r="BD381" s="22">
        <f>BD380/F381</f>
        <v>0.7358490566</v>
      </c>
      <c r="BE381" s="25">
        <f t="shared" ref="BE381:BG381" si="1116">BA381+BE380</f>
        <v>4</v>
      </c>
      <c r="BF381" s="25">
        <f t="shared" si="1116"/>
        <v>13</v>
      </c>
      <c r="BG381" s="25">
        <f t="shared" si="1116"/>
        <v>0</v>
      </c>
      <c r="BH381" s="22">
        <f>BH380/F381</f>
        <v>0.7358490566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16"/>
      <c r="B382" s="16"/>
      <c r="C382" s="16"/>
      <c r="D382" s="16"/>
      <c r="E382" s="16"/>
      <c r="F382" s="16"/>
      <c r="G382" s="16"/>
      <c r="H382" s="31"/>
      <c r="I382" s="31"/>
      <c r="J382" s="31"/>
      <c r="K382" s="2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33" t="s">
        <v>304</v>
      </c>
      <c r="B383" s="21"/>
      <c r="C383" s="21"/>
      <c r="D383" s="21"/>
      <c r="E383" s="49"/>
      <c r="F383" s="21"/>
      <c r="G383" s="22"/>
      <c r="H383" s="25"/>
      <c r="I383" s="25"/>
      <c r="J383" s="25"/>
      <c r="K383" s="21">
        <v>2027.0</v>
      </c>
      <c r="L383" s="21">
        <v>2026.0</v>
      </c>
      <c r="M383" s="21"/>
      <c r="N383" s="21"/>
      <c r="O383" s="21" t="s">
        <v>305</v>
      </c>
      <c r="P383" s="25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49" t="s">
        <v>306</v>
      </c>
      <c r="C384" s="49">
        <v>5.0</v>
      </c>
      <c r="D384" s="49">
        <v>6386.0</v>
      </c>
      <c r="E384" s="49">
        <v>49.0</v>
      </c>
      <c r="F384" s="21">
        <f t="shared" ref="F384:F394" si="1117">E384+1</f>
        <v>50</v>
      </c>
      <c r="G384" s="22">
        <f t="shared" ref="G384:G386" si="1118">$BH384/F384</f>
        <v>0.54</v>
      </c>
      <c r="H384" s="25">
        <v>17.0</v>
      </c>
      <c r="I384" s="25">
        <f t="shared" ref="I384:I394" si="1119">+H384+J384</f>
        <v>17</v>
      </c>
      <c r="J384" s="25"/>
      <c r="K384" s="21">
        <v>2027.0</v>
      </c>
      <c r="L384" s="21">
        <v>2025.0</v>
      </c>
      <c r="M384" s="21">
        <v>2.0</v>
      </c>
      <c r="N384" s="21"/>
      <c r="O384" s="21"/>
      <c r="P384" s="25">
        <f t="shared" ref="P384:P394" si="1120">SUM(M384:O384)+H384</f>
        <v>19</v>
      </c>
      <c r="Q384" s="21"/>
      <c r="R384" s="21"/>
      <c r="S384" s="21"/>
      <c r="T384" s="25">
        <f t="shared" ref="T384:T394" si="1121">SUM(P384:S384)</f>
        <v>19</v>
      </c>
      <c r="U384" s="21"/>
      <c r="V384" s="21"/>
      <c r="W384" s="21"/>
      <c r="X384" s="25">
        <f t="shared" ref="X384:X394" si="1122">SUM(T384:W384)</f>
        <v>19</v>
      </c>
      <c r="Y384" s="21"/>
      <c r="Z384" s="21"/>
      <c r="AA384" s="21"/>
      <c r="AB384" s="25">
        <f t="shared" ref="AB384:AB394" si="1123">SUM(X384:AA384)</f>
        <v>19</v>
      </c>
      <c r="AC384" s="21"/>
      <c r="AD384" s="21"/>
      <c r="AE384" s="21"/>
      <c r="AF384" s="25">
        <f t="shared" ref="AF384:AF394" si="1124">SUM(AB384:AE384)</f>
        <v>19</v>
      </c>
      <c r="AG384" s="21"/>
      <c r="AH384" s="21"/>
      <c r="AI384" s="21"/>
      <c r="AJ384" s="25">
        <f t="shared" ref="AJ384:AJ394" si="1125">SUM(AF384:AI384)</f>
        <v>19</v>
      </c>
      <c r="AK384" s="21"/>
      <c r="AL384" s="21"/>
      <c r="AM384" s="21"/>
      <c r="AN384" s="25">
        <f t="shared" ref="AN384:AN394" si="1126">SUM(AJ384:AM384)</f>
        <v>19</v>
      </c>
      <c r="AO384" s="21"/>
      <c r="AP384" s="21"/>
      <c r="AQ384" s="21"/>
      <c r="AR384" s="25">
        <f t="shared" ref="AR384:AR394" si="1127">SUM(AN384:AQ384)</f>
        <v>19</v>
      </c>
      <c r="AS384" s="21"/>
      <c r="AT384" s="21"/>
      <c r="AU384" s="21"/>
      <c r="AV384" s="25">
        <f t="shared" ref="AV384:AV394" si="1128">SUM(AR384:AU384)</f>
        <v>19</v>
      </c>
      <c r="AW384" s="21"/>
      <c r="AX384" s="21"/>
      <c r="AY384" s="21"/>
      <c r="AZ384" s="25">
        <f t="shared" ref="AZ384:AZ394" si="1129">SUM(AV384:AY384)</f>
        <v>19</v>
      </c>
      <c r="BA384" s="21"/>
      <c r="BB384" s="21"/>
      <c r="BC384" s="21"/>
      <c r="BD384" s="25">
        <f t="shared" ref="BD384:BD394" si="1130">SUM(AZ384:BC384)</f>
        <v>19</v>
      </c>
      <c r="BE384" s="21"/>
      <c r="BF384" s="18">
        <v>8.0</v>
      </c>
      <c r="BG384" s="21"/>
      <c r="BH384" s="25">
        <f t="shared" ref="BH384:BH394" si="1131">SUM(BD384:BG384)</f>
        <v>27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49" t="s">
        <v>307</v>
      </c>
      <c r="C385" s="49">
        <v>8.0</v>
      </c>
      <c r="D385" s="49"/>
      <c r="E385" s="49">
        <v>17.0</v>
      </c>
      <c r="F385" s="21">
        <f t="shared" si="1117"/>
        <v>18</v>
      </c>
      <c r="G385" s="22">
        <f t="shared" si="1118"/>
        <v>0.8333333333</v>
      </c>
      <c r="H385" s="25">
        <v>5.0</v>
      </c>
      <c r="I385" s="25">
        <f t="shared" si="1119"/>
        <v>6</v>
      </c>
      <c r="J385" s="55">
        <v>1.0</v>
      </c>
      <c r="K385" s="21"/>
      <c r="L385" s="21"/>
      <c r="M385" s="21">
        <v>1.0</v>
      </c>
      <c r="N385" s="21"/>
      <c r="O385" s="21"/>
      <c r="P385" s="25">
        <f t="shared" si="1120"/>
        <v>6</v>
      </c>
      <c r="Q385" s="21"/>
      <c r="R385" s="21"/>
      <c r="S385" s="21"/>
      <c r="T385" s="25">
        <f t="shared" si="1121"/>
        <v>6</v>
      </c>
      <c r="U385" s="21"/>
      <c r="V385" s="21"/>
      <c r="W385" s="21"/>
      <c r="X385" s="25">
        <f t="shared" si="1122"/>
        <v>6</v>
      </c>
      <c r="Y385" s="21"/>
      <c r="Z385" s="21"/>
      <c r="AA385" s="21"/>
      <c r="AB385" s="25">
        <f t="shared" si="1123"/>
        <v>6</v>
      </c>
      <c r="AC385" s="21"/>
      <c r="AD385" s="21"/>
      <c r="AE385" s="21"/>
      <c r="AF385" s="25">
        <f t="shared" si="1124"/>
        <v>6</v>
      </c>
      <c r="AG385" s="21"/>
      <c r="AH385" s="21"/>
      <c r="AI385" s="21"/>
      <c r="AJ385" s="25">
        <f t="shared" si="1125"/>
        <v>6</v>
      </c>
      <c r="AK385" s="21"/>
      <c r="AL385" s="21"/>
      <c r="AM385" s="21"/>
      <c r="AN385" s="25">
        <f t="shared" si="1126"/>
        <v>6</v>
      </c>
      <c r="AO385" s="18">
        <v>3.0</v>
      </c>
      <c r="AP385" s="18">
        <v>5.0</v>
      </c>
      <c r="AQ385" s="21"/>
      <c r="AR385" s="25">
        <f t="shared" si="1127"/>
        <v>14</v>
      </c>
      <c r="AS385" s="21"/>
      <c r="AT385" s="21"/>
      <c r="AU385" s="21"/>
      <c r="AV385" s="25">
        <f t="shared" si="1128"/>
        <v>14</v>
      </c>
      <c r="AW385" s="21"/>
      <c r="AX385" s="21"/>
      <c r="AY385" s="21"/>
      <c r="AZ385" s="25">
        <f t="shared" si="1129"/>
        <v>14</v>
      </c>
      <c r="BA385" s="21"/>
      <c r="BB385" s="21"/>
      <c r="BC385" s="21"/>
      <c r="BD385" s="25">
        <f t="shared" si="1130"/>
        <v>14</v>
      </c>
      <c r="BE385" s="21"/>
      <c r="BF385" s="18">
        <v>1.0</v>
      </c>
      <c r="BG385" s="21"/>
      <c r="BH385" s="25">
        <f t="shared" si="1131"/>
        <v>15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49" t="s">
        <v>308</v>
      </c>
      <c r="C386" s="49">
        <v>10.0</v>
      </c>
      <c r="D386" s="49"/>
      <c r="E386" s="49">
        <v>13.0</v>
      </c>
      <c r="F386" s="21">
        <f t="shared" si="1117"/>
        <v>14</v>
      </c>
      <c r="G386" s="22">
        <f t="shared" si="1118"/>
        <v>0</v>
      </c>
      <c r="H386" s="25">
        <v>0.0</v>
      </c>
      <c r="I386" s="25">
        <f t="shared" si="1119"/>
        <v>0</v>
      </c>
      <c r="J386" s="25"/>
      <c r="K386" s="21"/>
      <c r="L386" s="21">
        <v>2025.0</v>
      </c>
      <c r="M386" s="21"/>
      <c r="N386" s="21"/>
      <c r="O386" s="21"/>
      <c r="P386" s="25">
        <f t="shared" si="1120"/>
        <v>0</v>
      </c>
      <c r="Q386" s="21"/>
      <c r="R386" s="21"/>
      <c r="S386" s="21"/>
      <c r="T386" s="25">
        <f t="shared" si="1121"/>
        <v>0</v>
      </c>
      <c r="U386" s="21"/>
      <c r="V386" s="21"/>
      <c r="W386" s="21"/>
      <c r="X386" s="25">
        <f t="shared" si="1122"/>
        <v>0</v>
      </c>
      <c r="Y386" s="21"/>
      <c r="Z386" s="21"/>
      <c r="AA386" s="21"/>
      <c r="AB386" s="25">
        <f t="shared" si="1123"/>
        <v>0</v>
      </c>
      <c r="AC386" s="21"/>
      <c r="AD386" s="21"/>
      <c r="AE386" s="21"/>
      <c r="AF386" s="25">
        <f t="shared" si="1124"/>
        <v>0</v>
      </c>
      <c r="AG386" s="21"/>
      <c r="AH386" s="21"/>
      <c r="AI386" s="21"/>
      <c r="AJ386" s="25">
        <f t="shared" si="1125"/>
        <v>0</v>
      </c>
      <c r="AK386" s="21"/>
      <c r="AL386" s="21"/>
      <c r="AM386" s="21"/>
      <c r="AN386" s="25">
        <f t="shared" si="1126"/>
        <v>0</v>
      </c>
      <c r="AO386" s="21"/>
      <c r="AP386" s="21"/>
      <c r="AQ386" s="21"/>
      <c r="AR386" s="25">
        <f t="shared" si="1127"/>
        <v>0</v>
      </c>
      <c r="AS386" s="21"/>
      <c r="AT386" s="21"/>
      <c r="AU386" s="21"/>
      <c r="AV386" s="25">
        <f t="shared" si="1128"/>
        <v>0</v>
      </c>
      <c r="AW386" s="21"/>
      <c r="AX386" s="21"/>
      <c r="AY386" s="21"/>
      <c r="AZ386" s="25">
        <f t="shared" si="1129"/>
        <v>0</v>
      </c>
      <c r="BA386" s="21"/>
      <c r="BB386" s="21"/>
      <c r="BC386" s="21"/>
      <c r="BD386" s="25">
        <f t="shared" si="1130"/>
        <v>0</v>
      </c>
      <c r="BE386" s="21"/>
      <c r="BF386" s="21"/>
      <c r="BG386" s="21"/>
      <c r="BH386" s="25">
        <f t="shared" si="1131"/>
        <v>0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49" t="s">
        <v>309</v>
      </c>
      <c r="C387" s="49">
        <v>11.0</v>
      </c>
      <c r="D387" s="49">
        <v>8905.0</v>
      </c>
      <c r="E387" s="49">
        <v>41.0</v>
      </c>
      <c r="F387" s="21">
        <f t="shared" si="1117"/>
        <v>42</v>
      </c>
      <c r="G387" s="22">
        <f>$BH387/E387</f>
        <v>1.146341463</v>
      </c>
      <c r="H387" s="25">
        <v>21.0</v>
      </c>
      <c r="I387" s="25">
        <f t="shared" si="1119"/>
        <v>21</v>
      </c>
      <c r="J387" s="25"/>
      <c r="K387" s="21">
        <v>2027.0</v>
      </c>
      <c r="L387" s="21">
        <v>2025.0</v>
      </c>
      <c r="M387" s="21">
        <v>1.0</v>
      </c>
      <c r="N387" s="21">
        <v>21.0</v>
      </c>
      <c r="O387" s="21">
        <v>4.0</v>
      </c>
      <c r="P387" s="25">
        <f t="shared" si="1120"/>
        <v>47</v>
      </c>
      <c r="Q387" s="21"/>
      <c r="R387" s="21"/>
      <c r="S387" s="21"/>
      <c r="T387" s="25">
        <f t="shared" si="1121"/>
        <v>47</v>
      </c>
      <c r="U387" s="21"/>
      <c r="V387" s="21"/>
      <c r="W387" s="21"/>
      <c r="X387" s="25">
        <f t="shared" si="1122"/>
        <v>47</v>
      </c>
      <c r="Y387" s="21"/>
      <c r="Z387" s="21"/>
      <c r="AA387" s="21"/>
      <c r="AB387" s="25">
        <f t="shared" si="1123"/>
        <v>47</v>
      </c>
      <c r="AC387" s="21"/>
      <c r="AD387" s="21"/>
      <c r="AE387" s="21"/>
      <c r="AF387" s="25">
        <f t="shared" si="1124"/>
        <v>47</v>
      </c>
      <c r="AG387" s="21"/>
      <c r="AH387" s="21"/>
      <c r="AI387" s="21"/>
      <c r="AJ387" s="25">
        <f t="shared" si="1125"/>
        <v>47</v>
      </c>
      <c r="AK387" s="21"/>
      <c r="AL387" s="21"/>
      <c r="AM387" s="21"/>
      <c r="AN387" s="25">
        <f t="shared" si="1126"/>
        <v>47</v>
      </c>
      <c r="AO387" s="21"/>
      <c r="AP387" s="21"/>
      <c r="AQ387" s="21"/>
      <c r="AR387" s="25">
        <f t="shared" si="1127"/>
        <v>47</v>
      </c>
      <c r="AS387" s="21"/>
      <c r="AT387" s="21"/>
      <c r="AU387" s="21"/>
      <c r="AV387" s="25">
        <f t="shared" si="1128"/>
        <v>47</v>
      </c>
      <c r="AW387" s="21"/>
      <c r="AX387" s="21"/>
      <c r="AY387" s="21"/>
      <c r="AZ387" s="25">
        <f t="shared" si="1129"/>
        <v>47</v>
      </c>
      <c r="BA387" s="21"/>
      <c r="BB387" s="21"/>
      <c r="BC387" s="21"/>
      <c r="BD387" s="25">
        <f t="shared" si="1130"/>
        <v>47</v>
      </c>
      <c r="BE387" s="21"/>
      <c r="BF387" s="21"/>
      <c r="BG387" s="21"/>
      <c r="BH387" s="25">
        <f t="shared" si="1131"/>
        <v>47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310</v>
      </c>
      <c r="C388" s="36">
        <v>13.0</v>
      </c>
      <c r="D388" s="36">
        <v>8577.0</v>
      </c>
      <c r="E388" s="36">
        <v>66.0</v>
      </c>
      <c r="F388" s="21">
        <f t="shared" si="1117"/>
        <v>67</v>
      </c>
      <c r="G388" s="63">
        <f t="shared" ref="G388:G394" si="1132">$BH388/F388</f>
        <v>0.4179104478</v>
      </c>
      <c r="H388" s="39">
        <v>28.0</v>
      </c>
      <c r="I388" s="39">
        <f t="shared" si="1119"/>
        <v>28</v>
      </c>
      <c r="J388" s="39"/>
      <c r="K388" s="35">
        <v>2027.0</v>
      </c>
      <c r="L388" s="21">
        <v>2025.0</v>
      </c>
      <c r="M388" s="35"/>
      <c r="N388" s="35"/>
      <c r="O388" s="35"/>
      <c r="P388" s="39">
        <f t="shared" si="1120"/>
        <v>28</v>
      </c>
      <c r="Q388" s="35"/>
      <c r="R388" s="35"/>
      <c r="S388" s="35"/>
      <c r="T388" s="39">
        <f t="shared" si="1121"/>
        <v>28</v>
      </c>
      <c r="U388" s="35"/>
      <c r="V388" s="35"/>
      <c r="W388" s="35"/>
      <c r="X388" s="39">
        <f t="shared" si="1122"/>
        <v>28</v>
      </c>
      <c r="Y388" s="35"/>
      <c r="Z388" s="35"/>
      <c r="AA388" s="35"/>
      <c r="AB388" s="39">
        <f t="shared" si="1123"/>
        <v>28</v>
      </c>
      <c r="AC388" s="35"/>
      <c r="AD388" s="35"/>
      <c r="AE388" s="35"/>
      <c r="AF388" s="39">
        <f t="shared" si="1124"/>
        <v>28</v>
      </c>
      <c r="AG388" s="35"/>
      <c r="AH388" s="35"/>
      <c r="AI388" s="35"/>
      <c r="AJ388" s="39">
        <f t="shared" si="1125"/>
        <v>28</v>
      </c>
      <c r="AK388" s="35"/>
      <c r="AL388" s="35"/>
      <c r="AM388" s="35"/>
      <c r="AN388" s="39">
        <f t="shared" si="1126"/>
        <v>28</v>
      </c>
      <c r="AO388" s="35"/>
      <c r="AP388" s="35"/>
      <c r="AQ388" s="35"/>
      <c r="AR388" s="39">
        <f t="shared" si="1127"/>
        <v>28</v>
      </c>
      <c r="AS388" s="35"/>
      <c r="AT388" s="35"/>
      <c r="AU388" s="35"/>
      <c r="AV388" s="39">
        <f t="shared" si="1128"/>
        <v>28</v>
      </c>
      <c r="AW388" s="35"/>
      <c r="AX388" s="35"/>
      <c r="AY388" s="35"/>
      <c r="AZ388" s="39">
        <f t="shared" si="1129"/>
        <v>28</v>
      </c>
      <c r="BA388" s="35"/>
      <c r="BB388" s="35"/>
      <c r="BC388" s="35"/>
      <c r="BD388" s="39">
        <f t="shared" si="1130"/>
        <v>28</v>
      </c>
      <c r="BE388" s="35"/>
      <c r="BF388" s="35"/>
      <c r="BG388" s="35"/>
      <c r="BH388" s="39">
        <f t="shared" si="1131"/>
        <v>28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49" t="s">
        <v>311</v>
      </c>
      <c r="C389" s="49">
        <v>35.0</v>
      </c>
      <c r="D389" s="49"/>
      <c r="E389" s="49">
        <v>25.0</v>
      </c>
      <c r="F389" s="21">
        <f t="shared" si="1117"/>
        <v>26</v>
      </c>
      <c r="G389" s="63">
        <f t="shared" si="1132"/>
        <v>1</v>
      </c>
      <c r="H389" s="25">
        <v>11.0</v>
      </c>
      <c r="I389" s="25">
        <f t="shared" si="1119"/>
        <v>16</v>
      </c>
      <c r="J389" s="55">
        <v>5.0</v>
      </c>
      <c r="K389" s="21">
        <v>2027.0</v>
      </c>
      <c r="L389" s="21">
        <v>2025.0</v>
      </c>
      <c r="M389" s="21"/>
      <c r="N389" s="21">
        <v>7.0</v>
      </c>
      <c r="O389" s="21"/>
      <c r="P389" s="25">
        <f t="shared" si="1120"/>
        <v>18</v>
      </c>
      <c r="Q389" s="21"/>
      <c r="R389" s="21">
        <v>3.0</v>
      </c>
      <c r="S389" s="21"/>
      <c r="T389" s="25">
        <f t="shared" si="1121"/>
        <v>21</v>
      </c>
      <c r="U389" s="21"/>
      <c r="V389" s="21"/>
      <c r="W389" s="21"/>
      <c r="X389" s="25">
        <f t="shared" si="1122"/>
        <v>21</v>
      </c>
      <c r="Y389" s="21">
        <v>2.0</v>
      </c>
      <c r="Z389" s="21">
        <v>2.0</v>
      </c>
      <c r="AA389" s="21"/>
      <c r="AB389" s="25">
        <f t="shared" si="1123"/>
        <v>25</v>
      </c>
      <c r="AC389" s="21"/>
      <c r="AD389" s="21"/>
      <c r="AE389" s="21"/>
      <c r="AF389" s="25">
        <f t="shared" si="1124"/>
        <v>25</v>
      </c>
      <c r="AG389" s="21"/>
      <c r="AH389" s="21"/>
      <c r="AI389" s="21"/>
      <c r="AJ389" s="25">
        <f t="shared" si="1125"/>
        <v>25</v>
      </c>
      <c r="AK389" s="21"/>
      <c r="AL389" s="21"/>
      <c r="AM389" s="21"/>
      <c r="AN389" s="25">
        <f t="shared" si="1126"/>
        <v>25</v>
      </c>
      <c r="AO389" s="21"/>
      <c r="AP389" s="21"/>
      <c r="AQ389" s="21"/>
      <c r="AR389" s="25">
        <f t="shared" si="1127"/>
        <v>25</v>
      </c>
      <c r="AS389" s="21"/>
      <c r="AT389" s="21"/>
      <c r="AU389" s="21"/>
      <c r="AV389" s="25">
        <f t="shared" si="1128"/>
        <v>25</v>
      </c>
      <c r="AW389" s="18">
        <v>1.0</v>
      </c>
      <c r="AX389" s="21"/>
      <c r="AY389" s="21"/>
      <c r="AZ389" s="25">
        <f t="shared" si="1129"/>
        <v>26</v>
      </c>
      <c r="BA389" s="21"/>
      <c r="BB389" s="21"/>
      <c r="BC389" s="21"/>
      <c r="BD389" s="25">
        <f t="shared" si="1130"/>
        <v>26</v>
      </c>
      <c r="BE389" s="21"/>
      <c r="BF389" s="21"/>
      <c r="BG389" s="21"/>
      <c r="BH389" s="25">
        <f t="shared" si="1131"/>
        <v>26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312</v>
      </c>
      <c r="C390" s="36">
        <v>36.0</v>
      </c>
      <c r="D390" s="36">
        <v>6873.0</v>
      </c>
      <c r="E390" s="36">
        <v>30.0</v>
      </c>
      <c r="F390" s="21">
        <f t="shared" si="1117"/>
        <v>31</v>
      </c>
      <c r="G390" s="63">
        <f t="shared" si="1132"/>
        <v>0.935483871</v>
      </c>
      <c r="H390" s="39">
        <v>26.0</v>
      </c>
      <c r="I390" s="39">
        <f t="shared" si="1119"/>
        <v>26</v>
      </c>
      <c r="J390" s="39"/>
      <c r="K390" s="21">
        <v>2027.0</v>
      </c>
      <c r="L390" s="21">
        <v>2025.0</v>
      </c>
      <c r="M390" s="35"/>
      <c r="N390" s="35">
        <v>3.0</v>
      </c>
      <c r="O390" s="35"/>
      <c r="P390" s="39">
        <f t="shared" si="1120"/>
        <v>29</v>
      </c>
      <c r="Q390" s="35"/>
      <c r="R390" s="35"/>
      <c r="S390" s="35"/>
      <c r="T390" s="39">
        <f t="shared" si="1121"/>
        <v>29</v>
      </c>
      <c r="U390" s="35"/>
      <c r="V390" s="35"/>
      <c r="W390" s="35"/>
      <c r="X390" s="39">
        <f t="shared" si="1122"/>
        <v>29</v>
      </c>
      <c r="Y390" s="35"/>
      <c r="Z390" s="35"/>
      <c r="AA390" s="35"/>
      <c r="AB390" s="39">
        <f t="shared" si="1123"/>
        <v>29</v>
      </c>
      <c r="AC390" s="35"/>
      <c r="AD390" s="35"/>
      <c r="AE390" s="35"/>
      <c r="AF390" s="39">
        <f t="shared" si="1124"/>
        <v>29</v>
      </c>
      <c r="AG390" s="35"/>
      <c r="AH390" s="35"/>
      <c r="AI390" s="35"/>
      <c r="AJ390" s="39">
        <f t="shared" si="1125"/>
        <v>29</v>
      </c>
      <c r="AK390" s="35"/>
      <c r="AL390" s="35"/>
      <c r="AM390" s="35"/>
      <c r="AN390" s="39">
        <f t="shared" si="1126"/>
        <v>29</v>
      </c>
      <c r="AO390" s="35"/>
      <c r="AP390" s="35"/>
      <c r="AQ390" s="35"/>
      <c r="AR390" s="39">
        <f t="shared" si="1127"/>
        <v>29</v>
      </c>
      <c r="AS390" s="35"/>
      <c r="AT390" s="35"/>
      <c r="AU390" s="35"/>
      <c r="AV390" s="39">
        <f t="shared" si="1128"/>
        <v>29</v>
      </c>
      <c r="AW390" s="35"/>
      <c r="AX390" s="35"/>
      <c r="AY390" s="35"/>
      <c r="AZ390" s="39">
        <f t="shared" si="1129"/>
        <v>29</v>
      </c>
      <c r="BA390" s="35"/>
      <c r="BB390" s="35"/>
      <c r="BC390" s="35"/>
      <c r="BD390" s="39">
        <f t="shared" si="1130"/>
        <v>29</v>
      </c>
      <c r="BE390" s="35"/>
      <c r="BF390" s="35"/>
      <c r="BG390" s="35"/>
      <c r="BH390" s="39">
        <f t="shared" si="1131"/>
        <v>29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313</v>
      </c>
      <c r="C391" s="36">
        <v>37.0</v>
      </c>
      <c r="D391" s="36"/>
      <c r="E391" s="36">
        <v>47.0</v>
      </c>
      <c r="F391" s="21">
        <f t="shared" si="1117"/>
        <v>48</v>
      </c>
      <c r="G391" s="63">
        <f t="shared" si="1132"/>
        <v>0.625</v>
      </c>
      <c r="H391" s="39">
        <v>20.0</v>
      </c>
      <c r="I391" s="39">
        <f t="shared" si="1119"/>
        <v>20</v>
      </c>
      <c r="J391" s="39"/>
      <c r="K391" s="21">
        <v>2027.0</v>
      </c>
      <c r="L391" s="21">
        <v>2025.0</v>
      </c>
      <c r="M391" s="35"/>
      <c r="N391" s="35">
        <v>3.0</v>
      </c>
      <c r="O391" s="35"/>
      <c r="P391" s="39">
        <f t="shared" si="1120"/>
        <v>23</v>
      </c>
      <c r="Q391" s="35">
        <v>1.0</v>
      </c>
      <c r="R391" s="35">
        <v>3.0</v>
      </c>
      <c r="S391" s="35"/>
      <c r="T391" s="39">
        <f t="shared" si="1121"/>
        <v>27</v>
      </c>
      <c r="U391" s="35"/>
      <c r="V391" s="35"/>
      <c r="W391" s="35"/>
      <c r="X391" s="39">
        <f t="shared" si="1122"/>
        <v>27</v>
      </c>
      <c r="Y391" s="35"/>
      <c r="Z391" s="35"/>
      <c r="AA391" s="35"/>
      <c r="AB391" s="39">
        <f t="shared" si="1123"/>
        <v>27</v>
      </c>
      <c r="AC391" s="35"/>
      <c r="AD391" s="35"/>
      <c r="AE391" s="35"/>
      <c r="AF391" s="39">
        <f t="shared" si="1124"/>
        <v>27</v>
      </c>
      <c r="AG391" s="35"/>
      <c r="AH391" s="35"/>
      <c r="AI391" s="35"/>
      <c r="AJ391" s="39">
        <f t="shared" si="1125"/>
        <v>27</v>
      </c>
      <c r="AK391" s="35"/>
      <c r="AL391" s="35"/>
      <c r="AM391" s="35"/>
      <c r="AN391" s="39">
        <f t="shared" si="1126"/>
        <v>27</v>
      </c>
      <c r="AO391" s="35"/>
      <c r="AP391" s="41">
        <v>1.0</v>
      </c>
      <c r="AQ391" s="35"/>
      <c r="AR391" s="39">
        <f t="shared" si="1127"/>
        <v>28</v>
      </c>
      <c r="AS391" s="35"/>
      <c r="AT391" s="41">
        <v>1.0</v>
      </c>
      <c r="AU391" s="35"/>
      <c r="AV391" s="39">
        <f t="shared" si="1128"/>
        <v>29</v>
      </c>
      <c r="AW391" s="35"/>
      <c r="AX391" s="35"/>
      <c r="AY391" s="35"/>
      <c r="AZ391" s="39">
        <f t="shared" si="1129"/>
        <v>29</v>
      </c>
      <c r="BA391" s="35"/>
      <c r="BB391" s="41">
        <v>1.0</v>
      </c>
      <c r="BC391" s="35"/>
      <c r="BD391" s="39">
        <f t="shared" si="1130"/>
        <v>30</v>
      </c>
      <c r="BE391" s="35"/>
      <c r="BF391" s="35"/>
      <c r="BG391" s="35"/>
      <c r="BH391" s="39">
        <f t="shared" si="1131"/>
        <v>30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>
      <c r="A392" s="21"/>
      <c r="B392" s="36" t="s">
        <v>314</v>
      </c>
      <c r="C392" s="36">
        <v>55.0</v>
      </c>
      <c r="D392" s="36">
        <v>4676.0</v>
      </c>
      <c r="E392" s="36">
        <v>71.0</v>
      </c>
      <c r="F392" s="21">
        <f t="shared" si="1117"/>
        <v>72</v>
      </c>
      <c r="G392" s="63">
        <f t="shared" si="1132"/>
        <v>0.8472222222</v>
      </c>
      <c r="H392" s="39">
        <v>55.0</v>
      </c>
      <c r="I392" s="39">
        <f t="shared" si="1119"/>
        <v>57</v>
      </c>
      <c r="J392" s="39">
        <v>2.0</v>
      </c>
      <c r="K392" s="21">
        <v>2027.0</v>
      </c>
      <c r="L392" s="21">
        <v>2025.0</v>
      </c>
      <c r="M392" s="35"/>
      <c r="N392" s="35"/>
      <c r="O392" s="35"/>
      <c r="P392" s="39">
        <f t="shared" si="1120"/>
        <v>55</v>
      </c>
      <c r="Q392" s="35"/>
      <c r="R392" s="35">
        <v>2.0</v>
      </c>
      <c r="S392" s="35"/>
      <c r="T392" s="39">
        <f t="shared" si="1121"/>
        <v>57</v>
      </c>
      <c r="U392" s="35"/>
      <c r="V392" s="35"/>
      <c r="W392" s="35"/>
      <c r="X392" s="39">
        <f t="shared" si="1122"/>
        <v>57</v>
      </c>
      <c r="Y392" s="35"/>
      <c r="Z392" s="35"/>
      <c r="AA392" s="35"/>
      <c r="AB392" s="39">
        <f t="shared" si="1123"/>
        <v>57</v>
      </c>
      <c r="AC392" s="35"/>
      <c r="AD392" s="35"/>
      <c r="AE392" s="35"/>
      <c r="AF392" s="39">
        <f t="shared" si="1124"/>
        <v>57</v>
      </c>
      <c r="AG392" s="35"/>
      <c r="AH392" s="35">
        <v>4.0</v>
      </c>
      <c r="AI392" s="35"/>
      <c r="AJ392" s="39">
        <f t="shared" si="1125"/>
        <v>61</v>
      </c>
      <c r="AK392" s="35"/>
      <c r="AL392" s="35"/>
      <c r="AM392" s="35"/>
      <c r="AN392" s="39">
        <f t="shared" si="1126"/>
        <v>61</v>
      </c>
      <c r="AO392" s="35"/>
      <c r="AP392" s="35"/>
      <c r="AQ392" s="35"/>
      <c r="AR392" s="39">
        <f t="shared" si="1127"/>
        <v>61</v>
      </c>
      <c r="AS392" s="35"/>
      <c r="AT392" s="35"/>
      <c r="AU392" s="35"/>
      <c r="AV392" s="39">
        <f t="shared" si="1128"/>
        <v>61</v>
      </c>
      <c r="AW392" s="35"/>
      <c r="AX392" s="35"/>
      <c r="AY392" s="35"/>
      <c r="AZ392" s="39">
        <f t="shared" si="1129"/>
        <v>61</v>
      </c>
      <c r="BA392" s="35"/>
      <c r="BB392" s="35"/>
      <c r="BC392" s="35"/>
      <c r="BD392" s="39">
        <f t="shared" si="1130"/>
        <v>61</v>
      </c>
      <c r="BE392" s="35"/>
      <c r="BF392" s="35"/>
      <c r="BG392" s="35"/>
      <c r="BH392" s="39">
        <f t="shared" si="1131"/>
        <v>61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>
      <c r="A393" s="21"/>
      <c r="B393" s="36" t="s">
        <v>315</v>
      </c>
      <c r="C393" s="36">
        <v>69.0</v>
      </c>
      <c r="D393" s="36"/>
      <c r="E393" s="36">
        <v>24.0</v>
      </c>
      <c r="F393" s="21">
        <f t="shared" si="1117"/>
        <v>25</v>
      </c>
      <c r="G393" s="63">
        <f t="shared" si="1132"/>
        <v>0.68</v>
      </c>
      <c r="H393" s="39">
        <v>12.0</v>
      </c>
      <c r="I393" s="39">
        <f t="shared" si="1119"/>
        <v>13</v>
      </c>
      <c r="J393" s="39">
        <v>1.0</v>
      </c>
      <c r="K393" s="35" t="s">
        <v>316</v>
      </c>
      <c r="L393" s="21">
        <v>2025.0</v>
      </c>
      <c r="M393" s="35"/>
      <c r="N393" s="35">
        <v>1.0</v>
      </c>
      <c r="O393" s="35">
        <v>1.0</v>
      </c>
      <c r="P393" s="39">
        <f t="shared" si="1120"/>
        <v>14</v>
      </c>
      <c r="Q393" s="35"/>
      <c r="R393" s="35"/>
      <c r="S393" s="35"/>
      <c r="T393" s="39">
        <f t="shared" si="1121"/>
        <v>14</v>
      </c>
      <c r="U393" s="35"/>
      <c r="V393" s="35"/>
      <c r="W393" s="35"/>
      <c r="X393" s="39">
        <f t="shared" si="1122"/>
        <v>14</v>
      </c>
      <c r="Y393" s="35"/>
      <c r="Z393" s="35"/>
      <c r="AA393" s="35"/>
      <c r="AB393" s="39">
        <f t="shared" si="1123"/>
        <v>14</v>
      </c>
      <c r="AC393" s="35"/>
      <c r="AD393" s="35"/>
      <c r="AE393" s="35"/>
      <c r="AF393" s="39">
        <f t="shared" si="1124"/>
        <v>14</v>
      </c>
      <c r="AG393" s="35"/>
      <c r="AH393" s="35"/>
      <c r="AI393" s="35"/>
      <c r="AJ393" s="39">
        <f t="shared" si="1125"/>
        <v>14</v>
      </c>
      <c r="AK393" s="35"/>
      <c r="AL393" s="35"/>
      <c r="AM393" s="35"/>
      <c r="AN393" s="39">
        <f t="shared" si="1126"/>
        <v>14</v>
      </c>
      <c r="AO393" s="35"/>
      <c r="AP393" s="35"/>
      <c r="AQ393" s="35"/>
      <c r="AR393" s="39">
        <f t="shared" si="1127"/>
        <v>14</v>
      </c>
      <c r="AS393" s="41">
        <v>1.0</v>
      </c>
      <c r="AT393" s="35"/>
      <c r="AU393" s="35"/>
      <c r="AV393" s="39">
        <f t="shared" si="1128"/>
        <v>15</v>
      </c>
      <c r="AW393" s="35"/>
      <c r="AX393" s="35"/>
      <c r="AY393" s="35"/>
      <c r="AZ393" s="39">
        <f t="shared" si="1129"/>
        <v>15</v>
      </c>
      <c r="BA393" s="35"/>
      <c r="BB393" s="35"/>
      <c r="BC393" s="35"/>
      <c r="BD393" s="39">
        <f t="shared" si="1130"/>
        <v>15</v>
      </c>
      <c r="BE393" s="35"/>
      <c r="BF393" s="41">
        <v>2.0</v>
      </c>
      <c r="BG393" s="35"/>
      <c r="BH393" s="39">
        <f t="shared" si="1131"/>
        <v>17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36" t="s">
        <v>317</v>
      </c>
      <c r="C394" s="36">
        <v>88.0</v>
      </c>
      <c r="D394" s="36">
        <v>6012.0</v>
      </c>
      <c r="E394" s="36">
        <v>20.0</v>
      </c>
      <c r="F394" s="21">
        <f t="shared" si="1117"/>
        <v>21</v>
      </c>
      <c r="G394" s="63">
        <f t="shared" si="1132"/>
        <v>1</v>
      </c>
      <c r="H394" s="39">
        <v>11.0</v>
      </c>
      <c r="I394" s="39">
        <f t="shared" si="1119"/>
        <v>11</v>
      </c>
      <c r="J394" s="39"/>
      <c r="K394" s="35">
        <v>2027.0</v>
      </c>
      <c r="L394" s="21">
        <v>2025.0</v>
      </c>
      <c r="M394" s="35"/>
      <c r="N394" s="35"/>
      <c r="O394" s="35"/>
      <c r="P394" s="39">
        <f t="shared" si="1120"/>
        <v>11</v>
      </c>
      <c r="Q394" s="35"/>
      <c r="R394" s="35"/>
      <c r="S394" s="35"/>
      <c r="T394" s="39">
        <f t="shared" si="1121"/>
        <v>11</v>
      </c>
      <c r="U394" s="35"/>
      <c r="V394" s="35"/>
      <c r="W394" s="35"/>
      <c r="X394" s="39">
        <f t="shared" si="1122"/>
        <v>11</v>
      </c>
      <c r="Y394" s="35"/>
      <c r="Z394" s="35"/>
      <c r="AA394" s="35"/>
      <c r="AB394" s="39">
        <f t="shared" si="1123"/>
        <v>11</v>
      </c>
      <c r="AC394" s="35"/>
      <c r="AD394" s="35"/>
      <c r="AE394" s="35"/>
      <c r="AF394" s="39">
        <f t="shared" si="1124"/>
        <v>11</v>
      </c>
      <c r="AG394" s="35"/>
      <c r="AH394" s="35"/>
      <c r="AI394" s="35"/>
      <c r="AJ394" s="39">
        <f t="shared" si="1125"/>
        <v>11</v>
      </c>
      <c r="AK394" s="41">
        <v>1.0</v>
      </c>
      <c r="AL394" s="41">
        <v>3.0</v>
      </c>
      <c r="AM394" s="35"/>
      <c r="AN394" s="39">
        <f t="shared" si="1126"/>
        <v>15</v>
      </c>
      <c r="AO394" s="35"/>
      <c r="AP394" s="35"/>
      <c r="AQ394" s="35"/>
      <c r="AR394" s="39">
        <f t="shared" si="1127"/>
        <v>15</v>
      </c>
      <c r="AS394" s="35"/>
      <c r="AT394" s="35"/>
      <c r="AU394" s="35"/>
      <c r="AV394" s="39">
        <f t="shared" si="1128"/>
        <v>15</v>
      </c>
      <c r="AW394" s="35"/>
      <c r="AX394" s="41">
        <v>6.0</v>
      </c>
      <c r="AY394" s="35"/>
      <c r="AZ394" s="39">
        <f t="shared" si="1129"/>
        <v>21</v>
      </c>
      <c r="BA394" s="35"/>
      <c r="BB394" s="35"/>
      <c r="BC394" s="35"/>
      <c r="BD394" s="39">
        <f t="shared" si="1130"/>
        <v>21</v>
      </c>
      <c r="BE394" s="35"/>
      <c r="BF394" s="35"/>
      <c r="BG394" s="35"/>
      <c r="BH394" s="39">
        <f t="shared" si="1131"/>
        <v>21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 ht="15.75" customHeight="1">
      <c r="A395" s="21"/>
      <c r="B395" s="21"/>
      <c r="C395" s="21"/>
      <c r="D395" s="21"/>
      <c r="E395" s="21"/>
      <c r="F395" s="21"/>
      <c r="G395" s="21"/>
      <c r="H395" s="25"/>
      <c r="I395" s="25"/>
      <c r="J395" s="25"/>
      <c r="K395" s="21"/>
      <c r="L395" s="21"/>
      <c r="M395" s="21">
        <f t="shared" ref="M395:O395" si="1133">SUM(M384:M394)</f>
        <v>4</v>
      </c>
      <c r="N395" s="21">
        <f t="shared" si="1133"/>
        <v>35</v>
      </c>
      <c r="O395" s="21">
        <f t="shared" si="1133"/>
        <v>5</v>
      </c>
      <c r="P395" s="25">
        <f t="shared" ref="P395:BH395" si="1134">SUM(P383:P394)</f>
        <v>250</v>
      </c>
      <c r="Q395" s="25">
        <f t="shared" si="1134"/>
        <v>1</v>
      </c>
      <c r="R395" s="25">
        <f t="shared" si="1134"/>
        <v>8</v>
      </c>
      <c r="S395" s="25">
        <f t="shared" si="1134"/>
        <v>0</v>
      </c>
      <c r="T395" s="25">
        <f t="shared" si="1134"/>
        <v>259</v>
      </c>
      <c r="U395" s="25">
        <f t="shared" si="1134"/>
        <v>0</v>
      </c>
      <c r="V395" s="25">
        <f t="shared" si="1134"/>
        <v>0</v>
      </c>
      <c r="W395" s="25">
        <f t="shared" si="1134"/>
        <v>0</v>
      </c>
      <c r="X395" s="25">
        <f t="shared" si="1134"/>
        <v>259</v>
      </c>
      <c r="Y395" s="25">
        <f t="shared" si="1134"/>
        <v>2</v>
      </c>
      <c r="Z395" s="25">
        <f t="shared" si="1134"/>
        <v>2</v>
      </c>
      <c r="AA395" s="25">
        <f t="shared" si="1134"/>
        <v>0</v>
      </c>
      <c r="AB395" s="25">
        <f t="shared" si="1134"/>
        <v>263</v>
      </c>
      <c r="AC395" s="25">
        <f t="shared" si="1134"/>
        <v>0</v>
      </c>
      <c r="AD395" s="25">
        <f t="shared" si="1134"/>
        <v>0</v>
      </c>
      <c r="AE395" s="25">
        <f t="shared" si="1134"/>
        <v>0</v>
      </c>
      <c r="AF395" s="25">
        <f t="shared" si="1134"/>
        <v>263</v>
      </c>
      <c r="AG395" s="25">
        <f t="shared" si="1134"/>
        <v>0</v>
      </c>
      <c r="AH395" s="25">
        <f t="shared" si="1134"/>
        <v>4</v>
      </c>
      <c r="AI395" s="25">
        <f t="shared" si="1134"/>
        <v>0</v>
      </c>
      <c r="AJ395" s="25">
        <f t="shared" si="1134"/>
        <v>267</v>
      </c>
      <c r="AK395" s="25">
        <f t="shared" si="1134"/>
        <v>1</v>
      </c>
      <c r="AL395" s="25">
        <f t="shared" si="1134"/>
        <v>3</v>
      </c>
      <c r="AM395" s="25">
        <f t="shared" si="1134"/>
        <v>0</v>
      </c>
      <c r="AN395" s="25">
        <f t="shared" si="1134"/>
        <v>271</v>
      </c>
      <c r="AO395" s="25">
        <f t="shared" si="1134"/>
        <v>3</v>
      </c>
      <c r="AP395" s="25">
        <f t="shared" si="1134"/>
        <v>6</v>
      </c>
      <c r="AQ395" s="25">
        <f t="shared" si="1134"/>
        <v>0</v>
      </c>
      <c r="AR395" s="25">
        <f t="shared" si="1134"/>
        <v>280</v>
      </c>
      <c r="AS395" s="25">
        <f t="shared" si="1134"/>
        <v>1</v>
      </c>
      <c r="AT395" s="25">
        <f t="shared" si="1134"/>
        <v>1</v>
      </c>
      <c r="AU395" s="25">
        <f t="shared" si="1134"/>
        <v>0</v>
      </c>
      <c r="AV395" s="25">
        <f t="shared" si="1134"/>
        <v>282</v>
      </c>
      <c r="AW395" s="25">
        <f t="shared" si="1134"/>
        <v>1</v>
      </c>
      <c r="AX395" s="25">
        <f t="shared" si="1134"/>
        <v>6</v>
      </c>
      <c r="AY395" s="25">
        <f t="shared" si="1134"/>
        <v>0</v>
      </c>
      <c r="AZ395" s="25">
        <f t="shared" si="1134"/>
        <v>289</v>
      </c>
      <c r="BA395" s="25">
        <f t="shared" si="1134"/>
        <v>0</v>
      </c>
      <c r="BB395" s="25">
        <f t="shared" si="1134"/>
        <v>1</v>
      </c>
      <c r="BC395" s="25">
        <f t="shared" si="1134"/>
        <v>0</v>
      </c>
      <c r="BD395" s="25">
        <f t="shared" si="1134"/>
        <v>290</v>
      </c>
      <c r="BE395" s="25">
        <f t="shared" si="1134"/>
        <v>0</v>
      </c>
      <c r="BF395" s="25">
        <f t="shared" si="1134"/>
        <v>11</v>
      </c>
      <c r="BG395" s="25">
        <f t="shared" si="1134"/>
        <v>0</v>
      </c>
      <c r="BH395" s="25">
        <f t="shared" si="1134"/>
        <v>301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 ht="15.75" customHeight="1">
      <c r="A396" s="21"/>
      <c r="B396" s="21" t="s">
        <v>35</v>
      </c>
      <c r="C396" s="21">
        <f>COUNT(C384:C394)</f>
        <v>11</v>
      </c>
      <c r="D396" s="21"/>
      <c r="E396" s="21">
        <f>SUM(E383:E394)</f>
        <v>403</v>
      </c>
      <c r="F396" s="21">
        <f>SUM(E383:E394)+1</f>
        <v>404</v>
      </c>
      <c r="G396" s="22">
        <f>$BH395/F396</f>
        <v>0.745049505</v>
      </c>
      <c r="H396" s="25">
        <f t="shared" ref="H396:J396" si="1135">SUM(H383:H394)</f>
        <v>206</v>
      </c>
      <c r="I396" s="25">
        <f t="shared" si="1135"/>
        <v>215</v>
      </c>
      <c r="J396" s="25">
        <f t="shared" si="1135"/>
        <v>9</v>
      </c>
      <c r="K396" s="21"/>
      <c r="L396" s="21"/>
      <c r="M396" s="21"/>
      <c r="N396" s="21"/>
      <c r="O396" s="21"/>
      <c r="P396" s="22">
        <f>P395/F396</f>
        <v>0.6188118812</v>
      </c>
      <c r="Q396" s="25">
        <f t="shared" ref="Q396:S396" si="1136">M395+Q395</f>
        <v>5</v>
      </c>
      <c r="R396" s="25">
        <f t="shared" si="1136"/>
        <v>43</v>
      </c>
      <c r="S396" s="25">
        <f t="shared" si="1136"/>
        <v>5</v>
      </c>
      <c r="T396" s="22">
        <f>T395/F396</f>
        <v>0.6410891089</v>
      </c>
      <c r="U396" s="25">
        <f t="shared" ref="U396:W396" si="1137">Q396+U395</f>
        <v>5</v>
      </c>
      <c r="V396" s="25">
        <f t="shared" si="1137"/>
        <v>43</v>
      </c>
      <c r="W396" s="25">
        <f t="shared" si="1137"/>
        <v>5</v>
      </c>
      <c r="X396" s="22">
        <f>X395/F396</f>
        <v>0.6410891089</v>
      </c>
      <c r="Y396" s="25">
        <f t="shared" ref="Y396:AA396" si="1138">U396+Y395</f>
        <v>7</v>
      </c>
      <c r="Z396" s="25">
        <f t="shared" si="1138"/>
        <v>45</v>
      </c>
      <c r="AA396" s="25">
        <f t="shared" si="1138"/>
        <v>5</v>
      </c>
      <c r="AB396" s="22">
        <f>AB395/F396</f>
        <v>0.650990099</v>
      </c>
      <c r="AC396" s="25">
        <f t="shared" ref="AC396:AE396" si="1139">Y396+AC395</f>
        <v>7</v>
      </c>
      <c r="AD396" s="25">
        <f t="shared" si="1139"/>
        <v>45</v>
      </c>
      <c r="AE396" s="25">
        <f t="shared" si="1139"/>
        <v>5</v>
      </c>
      <c r="AF396" s="22">
        <f>AF395/F396</f>
        <v>0.650990099</v>
      </c>
      <c r="AG396" s="25">
        <f t="shared" ref="AG396:AI396" si="1140">AC396+AG395</f>
        <v>7</v>
      </c>
      <c r="AH396" s="25">
        <f t="shared" si="1140"/>
        <v>49</v>
      </c>
      <c r="AI396" s="25">
        <f t="shared" si="1140"/>
        <v>5</v>
      </c>
      <c r="AJ396" s="22">
        <f>AJ395/F396</f>
        <v>0.6608910891</v>
      </c>
      <c r="AK396" s="25">
        <f t="shared" ref="AK396:AM396" si="1141">AG396+AK395</f>
        <v>8</v>
      </c>
      <c r="AL396" s="25">
        <f t="shared" si="1141"/>
        <v>52</v>
      </c>
      <c r="AM396" s="25">
        <f t="shared" si="1141"/>
        <v>5</v>
      </c>
      <c r="AN396" s="22">
        <f>AN395/F396</f>
        <v>0.6707920792</v>
      </c>
      <c r="AO396" s="25">
        <f t="shared" ref="AO396:AQ396" si="1142">AK396+AO395</f>
        <v>11</v>
      </c>
      <c r="AP396" s="25">
        <f t="shared" si="1142"/>
        <v>58</v>
      </c>
      <c r="AQ396" s="25">
        <f t="shared" si="1142"/>
        <v>5</v>
      </c>
      <c r="AR396" s="22">
        <f>AR395/F396</f>
        <v>0.6930693069</v>
      </c>
      <c r="AS396" s="25">
        <f t="shared" ref="AS396:AU396" si="1143">AO396+AS395</f>
        <v>12</v>
      </c>
      <c r="AT396" s="25">
        <f t="shared" si="1143"/>
        <v>59</v>
      </c>
      <c r="AU396" s="25">
        <f t="shared" si="1143"/>
        <v>5</v>
      </c>
      <c r="AV396" s="22">
        <f>AV395/F396</f>
        <v>0.698019802</v>
      </c>
      <c r="AW396" s="25">
        <f t="shared" ref="AW396:AY396" si="1144">AS396+AW395</f>
        <v>13</v>
      </c>
      <c r="AX396" s="25">
        <f t="shared" si="1144"/>
        <v>65</v>
      </c>
      <c r="AY396" s="25">
        <f t="shared" si="1144"/>
        <v>5</v>
      </c>
      <c r="AZ396" s="22">
        <f>AZ395/F396</f>
        <v>0.7153465347</v>
      </c>
      <c r="BA396" s="25">
        <f t="shared" ref="BA396:BC396" si="1145">AW396+BA395</f>
        <v>13</v>
      </c>
      <c r="BB396" s="25">
        <f t="shared" si="1145"/>
        <v>66</v>
      </c>
      <c r="BC396" s="25">
        <f t="shared" si="1145"/>
        <v>5</v>
      </c>
      <c r="BD396" s="22">
        <f>BD395/F396</f>
        <v>0.7178217822</v>
      </c>
      <c r="BE396" s="25">
        <f t="shared" ref="BE396:BG396" si="1146">BA396+BE395</f>
        <v>13</v>
      </c>
      <c r="BF396" s="25">
        <f t="shared" si="1146"/>
        <v>77</v>
      </c>
      <c r="BG396" s="25">
        <f t="shared" si="1146"/>
        <v>5</v>
      </c>
      <c r="BH396" s="22">
        <f>BH395/F396</f>
        <v>0.745049505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3"/>
      <c r="B397" s="21"/>
      <c r="C397" s="21"/>
      <c r="D397" s="21"/>
      <c r="E397" s="49"/>
      <c r="F397" s="21"/>
      <c r="G397" s="22"/>
      <c r="H397" s="25"/>
      <c r="I397" s="25"/>
      <c r="J397" s="25"/>
      <c r="K397" s="21"/>
      <c r="L397" s="35"/>
      <c r="M397" s="21"/>
      <c r="N397" s="21"/>
      <c r="O397" s="21"/>
      <c r="P397" s="25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3" t="s">
        <v>318</v>
      </c>
      <c r="B398" s="21"/>
      <c r="C398" s="21"/>
      <c r="D398" s="21"/>
      <c r="E398" s="49"/>
      <c r="F398" s="21"/>
      <c r="G398" s="22"/>
      <c r="H398" s="25"/>
      <c r="I398" s="25"/>
      <c r="J398" s="25"/>
      <c r="K398" s="21">
        <v>2027.0</v>
      </c>
      <c r="L398" s="35">
        <v>2025.0</v>
      </c>
      <c r="M398" s="21"/>
      <c r="N398" s="21"/>
      <c r="O398" s="21"/>
      <c r="P398" s="25" t="str">
        <f>+H398</f>
        <v/>
      </c>
      <c r="Q398" s="21"/>
      <c r="R398" s="21"/>
      <c r="S398" s="21"/>
      <c r="T398" s="25">
        <f t="shared" ref="T398:T409" si="1147">SUM(P398:S398)</f>
        <v>0</v>
      </c>
      <c r="U398" s="21"/>
      <c r="V398" s="21"/>
      <c r="W398" s="21"/>
      <c r="X398" s="25">
        <f t="shared" ref="X398:X409" si="1148">SUM(T398:W398)</f>
        <v>0</v>
      </c>
      <c r="Y398" s="21"/>
      <c r="Z398" s="21"/>
      <c r="AA398" s="21"/>
      <c r="AB398" s="25">
        <f t="shared" ref="AB398:AB409" si="1149">SUM(X398:AA398)</f>
        <v>0</v>
      </c>
      <c r="AC398" s="21"/>
      <c r="AD398" s="21"/>
      <c r="AE398" s="21"/>
      <c r="AF398" s="25">
        <f t="shared" ref="AF398:AF409" si="1150">SUM(AB398:AE398)</f>
        <v>0</v>
      </c>
      <c r="AG398" s="21"/>
      <c r="AH398" s="21"/>
      <c r="AI398" s="21"/>
      <c r="AJ398" s="25">
        <f t="shared" ref="AJ398:AJ409" si="1151">SUM(AF398:AI398)</f>
        <v>0</v>
      </c>
      <c r="AK398" s="21"/>
      <c r="AL398" s="21"/>
      <c r="AM398" s="21"/>
      <c r="AN398" s="25">
        <f t="shared" ref="AN398:AN409" si="1152">SUM(AJ398:AM398)</f>
        <v>0</v>
      </c>
      <c r="AO398" s="21"/>
      <c r="AP398" s="21"/>
      <c r="AQ398" s="21"/>
      <c r="AR398" s="25">
        <f t="shared" ref="AR398:AR409" si="1153">SUM(AN398:AQ398)</f>
        <v>0</v>
      </c>
      <c r="AS398" s="21"/>
      <c r="AT398" s="21"/>
      <c r="AU398" s="21"/>
      <c r="AV398" s="25">
        <f t="shared" ref="AV398:AV409" si="1154">SUM(AR398:AU398)</f>
        <v>0</v>
      </c>
      <c r="AW398" s="21"/>
      <c r="AX398" s="21"/>
      <c r="AY398" s="21"/>
      <c r="AZ398" s="25">
        <f t="shared" ref="AZ398:AZ409" si="1155">SUM(AV398:AY398)</f>
        <v>0</v>
      </c>
      <c r="BA398" s="21"/>
      <c r="BB398" s="21"/>
      <c r="BC398" s="21"/>
      <c r="BD398" s="25">
        <f t="shared" ref="BD398:BD409" si="1156">SUM(AZ398:BC398)</f>
        <v>0</v>
      </c>
      <c r="BE398" s="21"/>
      <c r="BF398" s="21"/>
      <c r="BG398" s="21"/>
      <c r="BH398" s="25">
        <f t="shared" ref="BH398:BH409" si="1157">SUM(BD398:BG398)</f>
        <v>0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319</v>
      </c>
      <c r="C399" s="36">
        <v>1.0</v>
      </c>
      <c r="D399" s="36">
        <v>3160.0</v>
      </c>
      <c r="E399" s="36">
        <v>30.0</v>
      </c>
      <c r="F399" s="35">
        <f t="shared" ref="F399:F409" si="1158">E399+1</f>
        <v>31</v>
      </c>
      <c r="G399" s="63">
        <f t="shared" ref="G399:G409" si="1159">$BH399/F399</f>
        <v>0.9677419355</v>
      </c>
      <c r="H399" s="39">
        <v>25.0</v>
      </c>
      <c r="I399" s="39">
        <f t="shared" ref="I399:I409" si="1160">+H399+J399</f>
        <v>25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ref="P399:P409" si="1161">SUM(M399:O399)+H399</f>
        <v>25</v>
      </c>
      <c r="Q399" s="35"/>
      <c r="R399" s="35"/>
      <c r="S399" s="35"/>
      <c r="T399" s="39">
        <f t="shared" si="1147"/>
        <v>25</v>
      </c>
      <c r="U399" s="35"/>
      <c r="V399" s="35">
        <v>5.0</v>
      </c>
      <c r="W399" s="35"/>
      <c r="X399" s="39">
        <f t="shared" si="1148"/>
        <v>30</v>
      </c>
      <c r="Y399" s="35"/>
      <c r="Z399" s="35"/>
      <c r="AA399" s="35"/>
      <c r="AB399" s="39">
        <f t="shared" si="1149"/>
        <v>30</v>
      </c>
      <c r="AC399" s="35"/>
      <c r="AD399" s="35"/>
      <c r="AE399" s="35"/>
      <c r="AF399" s="39">
        <f t="shared" si="1150"/>
        <v>30</v>
      </c>
      <c r="AG399" s="35"/>
      <c r="AH399" s="35"/>
      <c r="AI399" s="35"/>
      <c r="AJ399" s="39">
        <f t="shared" si="1151"/>
        <v>30</v>
      </c>
      <c r="AK399" s="35"/>
      <c r="AL399" s="35"/>
      <c r="AM399" s="35"/>
      <c r="AN399" s="39">
        <f t="shared" si="1152"/>
        <v>30</v>
      </c>
      <c r="AO399" s="35"/>
      <c r="AP399" s="35"/>
      <c r="AQ399" s="35"/>
      <c r="AR399" s="39">
        <f t="shared" si="1153"/>
        <v>30</v>
      </c>
      <c r="AS399" s="35"/>
      <c r="AT399" s="35"/>
      <c r="AU399" s="35"/>
      <c r="AV399" s="39">
        <f t="shared" si="1154"/>
        <v>30</v>
      </c>
      <c r="AW399" s="35"/>
      <c r="AX399" s="35"/>
      <c r="AY399" s="35"/>
      <c r="AZ399" s="39">
        <f t="shared" si="1155"/>
        <v>30</v>
      </c>
      <c r="BA399" s="35"/>
      <c r="BB399" s="35"/>
      <c r="BC399" s="35"/>
      <c r="BD399" s="39">
        <f t="shared" si="1156"/>
        <v>30</v>
      </c>
      <c r="BE399" s="35"/>
      <c r="BF399" s="35"/>
      <c r="BG399" s="35"/>
      <c r="BH399" s="39">
        <f t="shared" si="1157"/>
        <v>30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320</v>
      </c>
      <c r="C400" s="36">
        <v>2.0</v>
      </c>
      <c r="D400" s="36">
        <v>4809.0</v>
      </c>
      <c r="E400" s="36">
        <v>48.0</v>
      </c>
      <c r="F400" s="35">
        <f t="shared" si="1158"/>
        <v>49</v>
      </c>
      <c r="G400" s="63">
        <f t="shared" si="1159"/>
        <v>1.081632653</v>
      </c>
      <c r="H400" s="39">
        <v>42.0</v>
      </c>
      <c r="I400" s="39">
        <f t="shared" si="1160"/>
        <v>43</v>
      </c>
      <c r="J400" s="73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1"/>
        <v>42</v>
      </c>
      <c r="Q400" s="35"/>
      <c r="R400" s="35"/>
      <c r="S400" s="35"/>
      <c r="T400" s="39">
        <f t="shared" si="1147"/>
        <v>42</v>
      </c>
      <c r="U400" s="35"/>
      <c r="V400" s="35"/>
      <c r="W400" s="35"/>
      <c r="X400" s="39">
        <f t="shared" si="1148"/>
        <v>42</v>
      </c>
      <c r="Y400" s="35"/>
      <c r="Z400" s="35"/>
      <c r="AA400" s="35"/>
      <c r="AB400" s="39">
        <f t="shared" si="1149"/>
        <v>42</v>
      </c>
      <c r="AC400" s="35"/>
      <c r="AD400" s="35"/>
      <c r="AE400" s="35"/>
      <c r="AF400" s="39">
        <f t="shared" si="1150"/>
        <v>42</v>
      </c>
      <c r="AG400" s="35"/>
      <c r="AH400" s="35"/>
      <c r="AI400" s="35"/>
      <c r="AJ400" s="39">
        <f t="shared" si="1151"/>
        <v>42</v>
      </c>
      <c r="AK400" s="35"/>
      <c r="AL400" s="35"/>
      <c r="AM400" s="35"/>
      <c r="AN400" s="39">
        <f t="shared" si="1152"/>
        <v>42</v>
      </c>
      <c r="AO400" s="35"/>
      <c r="AP400" s="35"/>
      <c r="AQ400" s="35"/>
      <c r="AR400" s="39">
        <f t="shared" si="1153"/>
        <v>42</v>
      </c>
      <c r="AS400" s="35"/>
      <c r="AT400" s="41">
        <v>6.0</v>
      </c>
      <c r="AU400" s="41">
        <v>5.0</v>
      </c>
      <c r="AV400" s="39">
        <f t="shared" si="1154"/>
        <v>53</v>
      </c>
      <c r="AW400" s="35"/>
      <c r="AX400" s="35"/>
      <c r="AY400" s="35"/>
      <c r="AZ400" s="39">
        <f t="shared" si="1155"/>
        <v>53</v>
      </c>
      <c r="BA400" s="35"/>
      <c r="BB400" s="35"/>
      <c r="BC400" s="35"/>
      <c r="BD400" s="39">
        <f t="shared" si="1156"/>
        <v>53</v>
      </c>
      <c r="BE400" s="35"/>
      <c r="BF400" s="35"/>
      <c r="BG400" s="35"/>
      <c r="BH400" s="39">
        <f t="shared" si="1157"/>
        <v>53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321</v>
      </c>
      <c r="C401" s="36">
        <v>5.0</v>
      </c>
      <c r="D401" s="36">
        <v>3219.0</v>
      </c>
      <c r="E401" s="36">
        <v>31.0</v>
      </c>
      <c r="F401" s="35">
        <f t="shared" si="1158"/>
        <v>32</v>
      </c>
      <c r="G401" s="63">
        <f t="shared" si="1159"/>
        <v>1</v>
      </c>
      <c r="H401" s="39">
        <v>24.0</v>
      </c>
      <c r="I401" s="39">
        <f t="shared" si="1160"/>
        <v>24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1"/>
        <v>24</v>
      </c>
      <c r="Q401" s="35"/>
      <c r="R401" s="35"/>
      <c r="S401" s="35"/>
      <c r="T401" s="39">
        <f t="shared" si="1147"/>
        <v>24</v>
      </c>
      <c r="U401" s="35"/>
      <c r="V401" s="35"/>
      <c r="W401" s="35"/>
      <c r="X401" s="39">
        <f t="shared" si="1148"/>
        <v>24</v>
      </c>
      <c r="Y401" s="35"/>
      <c r="Z401" s="35"/>
      <c r="AA401" s="35"/>
      <c r="AB401" s="39">
        <f t="shared" si="1149"/>
        <v>24</v>
      </c>
      <c r="AC401" s="35"/>
      <c r="AD401" s="35"/>
      <c r="AE401" s="35"/>
      <c r="AF401" s="39">
        <f t="shared" si="1150"/>
        <v>24</v>
      </c>
      <c r="AG401" s="35"/>
      <c r="AH401" s="35"/>
      <c r="AI401" s="35"/>
      <c r="AJ401" s="39">
        <f t="shared" si="1151"/>
        <v>24</v>
      </c>
      <c r="AK401" s="35"/>
      <c r="AL401" s="35"/>
      <c r="AM401" s="35"/>
      <c r="AN401" s="39">
        <f t="shared" si="1152"/>
        <v>24</v>
      </c>
      <c r="AO401" s="35"/>
      <c r="AP401" s="35"/>
      <c r="AQ401" s="35"/>
      <c r="AR401" s="39">
        <f t="shared" si="1153"/>
        <v>24</v>
      </c>
      <c r="AS401" s="35"/>
      <c r="AT401" s="35"/>
      <c r="AU401" s="35"/>
      <c r="AV401" s="39">
        <f t="shared" si="1154"/>
        <v>24</v>
      </c>
      <c r="AW401" s="41">
        <v>1.0</v>
      </c>
      <c r="AX401" s="41">
        <v>7.0</v>
      </c>
      <c r="AY401" s="35"/>
      <c r="AZ401" s="39">
        <f t="shared" si="1155"/>
        <v>32</v>
      </c>
      <c r="BA401" s="35"/>
      <c r="BB401" s="35"/>
      <c r="BC401" s="35"/>
      <c r="BD401" s="39">
        <f t="shared" si="1156"/>
        <v>32</v>
      </c>
      <c r="BE401" s="35"/>
      <c r="BF401" s="35"/>
      <c r="BG401" s="35"/>
      <c r="BH401" s="39">
        <f t="shared" si="1157"/>
        <v>32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322</v>
      </c>
      <c r="C402" s="36">
        <v>9.0</v>
      </c>
      <c r="D402" s="36">
        <v>392.0</v>
      </c>
      <c r="E402" s="36">
        <v>42.0</v>
      </c>
      <c r="F402" s="35">
        <f t="shared" si="1158"/>
        <v>43</v>
      </c>
      <c r="G402" s="63">
        <f t="shared" si="1159"/>
        <v>0.7674418605</v>
      </c>
      <c r="H402" s="39">
        <v>23.0</v>
      </c>
      <c r="I402" s="39">
        <f t="shared" si="1160"/>
        <v>24</v>
      </c>
      <c r="J402" s="73">
        <v>1.0</v>
      </c>
      <c r="K402" s="21">
        <v>2027.0</v>
      </c>
      <c r="L402" s="35">
        <v>2025.0</v>
      </c>
      <c r="M402" s="35"/>
      <c r="N402" s="35">
        <v>2.0</v>
      </c>
      <c r="O402" s="35"/>
      <c r="P402" s="39">
        <f t="shared" si="1161"/>
        <v>25</v>
      </c>
      <c r="Q402" s="35"/>
      <c r="R402" s="35"/>
      <c r="S402" s="35"/>
      <c r="T402" s="39">
        <f t="shared" si="1147"/>
        <v>25</v>
      </c>
      <c r="U402" s="35"/>
      <c r="V402" s="35"/>
      <c r="W402" s="35"/>
      <c r="X402" s="39">
        <f t="shared" si="1148"/>
        <v>25</v>
      </c>
      <c r="Y402" s="35"/>
      <c r="Z402" s="41">
        <v>8.0</v>
      </c>
      <c r="AA402" s="35"/>
      <c r="AB402" s="39">
        <f t="shared" si="1149"/>
        <v>33</v>
      </c>
      <c r="AC402" s="35"/>
      <c r="AD402" s="35"/>
      <c r="AE402" s="35"/>
      <c r="AF402" s="39">
        <f t="shared" si="1150"/>
        <v>33</v>
      </c>
      <c r="AG402" s="35"/>
      <c r="AH402" s="35"/>
      <c r="AI402" s="35"/>
      <c r="AJ402" s="39">
        <f t="shared" si="1151"/>
        <v>33</v>
      </c>
      <c r="AK402" s="35"/>
      <c r="AL402" s="35"/>
      <c r="AM402" s="35"/>
      <c r="AN402" s="39">
        <f t="shared" si="1152"/>
        <v>33</v>
      </c>
      <c r="AO402" s="35"/>
      <c r="AP402" s="35"/>
      <c r="AQ402" s="35"/>
      <c r="AR402" s="39">
        <f t="shared" si="1153"/>
        <v>33</v>
      </c>
      <c r="AS402" s="35"/>
      <c r="AT402" s="35"/>
      <c r="AU402" s="35"/>
      <c r="AV402" s="39">
        <f t="shared" si="1154"/>
        <v>33</v>
      </c>
      <c r="AW402" s="35"/>
      <c r="AX402" s="35"/>
      <c r="AY402" s="35"/>
      <c r="AZ402" s="39">
        <f t="shared" si="1155"/>
        <v>33</v>
      </c>
      <c r="BA402" s="35"/>
      <c r="BB402" s="35"/>
      <c r="BC402" s="35"/>
      <c r="BD402" s="39">
        <f t="shared" si="1156"/>
        <v>33</v>
      </c>
      <c r="BE402" s="35"/>
      <c r="BF402" s="35"/>
      <c r="BG402" s="35"/>
      <c r="BH402" s="39">
        <f t="shared" si="1157"/>
        <v>33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323</v>
      </c>
      <c r="C403" s="36">
        <v>11.0</v>
      </c>
      <c r="D403" s="36"/>
      <c r="E403" s="36">
        <v>27.0</v>
      </c>
      <c r="F403" s="35">
        <f t="shared" si="1158"/>
        <v>28</v>
      </c>
      <c r="G403" s="63">
        <f t="shared" si="1159"/>
        <v>0.7857142857</v>
      </c>
      <c r="H403" s="39">
        <v>13.0</v>
      </c>
      <c r="I403" s="39">
        <f t="shared" si="1160"/>
        <v>14</v>
      </c>
      <c r="J403" s="39">
        <v>1.0</v>
      </c>
      <c r="K403" s="21">
        <v>2027.0</v>
      </c>
      <c r="L403" s="35">
        <v>2025.0</v>
      </c>
      <c r="M403" s="35"/>
      <c r="N403" s="35"/>
      <c r="O403" s="35"/>
      <c r="P403" s="39">
        <f t="shared" si="1161"/>
        <v>13</v>
      </c>
      <c r="Q403" s="35"/>
      <c r="R403" s="35"/>
      <c r="S403" s="35"/>
      <c r="T403" s="39">
        <f t="shared" si="1147"/>
        <v>13</v>
      </c>
      <c r="U403" s="35"/>
      <c r="V403" s="35"/>
      <c r="W403" s="35"/>
      <c r="X403" s="39">
        <f t="shared" si="1148"/>
        <v>13</v>
      </c>
      <c r="Y403" s="35"/>
      <c r="Z403" s="35"/>
      <c r="AA403" s="35"/>
      <c r="AB403" s="39">
        <f t="shared" si="1149"/>
        <v>13</v>
      </c>
      <c r="AC403" s="35"/>
      <c r="AD403" s="35"/>
      <c r="AE403" s="35"/>
      <c r="AF403" s="39">
        <f t="shared" si="1150"/>
        <v>13</v>
      </c>
      <c r="AG403" s="35"/>
      <c r="AH403" s="35"/>
      <c r="AI403" s="35"/>
      <c r="AJ403" s="39">
        <f t="shared" si="1151"/>
        <v>13</v>
      </c>
      <c r="AK403" s="35"/>
      <c r="AL403" s="35"/>
      <c r="AM403" s="35"/>
      <c r="AN403" s="39">
        <f t="shared" si="1152"/>
        <v>13</v>
      </c>
      <c r="AO403" s="35"/>
      <c r="AP403" s="35"/>
      <c r="AQ403" s="35"/>
      <c r="AR403" s="39">
        <f t="shared" si="1153"/>
        <v>13</v>
      </c>
      <c r="AS403" s="35"/>
      <c r="AT403" s="35"/>
      <c r="AU403" s="35"/>
      <c r="AV403" s="39">
        <f t="shared" si="1154"/>
        <v>13</v>
      </c>
      <c r="AW403" s="35"/>
      <c r="AX403" s="35"/>
      <c r="AY403" s="35"/>
      <c r="AZ403" s="39">
        <f t="shared" si="1155"/>
        <v>13</v>
      </c>
      <c r="BA403" s="35"/>
      <c r="BB403" s="35"/>
      <c r="BC403" s="35"/>
      <c r="BD403" s="39">
        <f t="shared" si="1156"/>
        <v>13</v>
      </c>
      <c r="BE403" s="35"/>
      <c r="BF403" s="41">
        <v>9.0</v>
      </c>
      <c r="BG403" s="35"/>
      <c r="BH403" s="39">
        <f t="shared" si="1157"/>
        <v>22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324</v>
      </c>
      <c r="C404" s="36">
        <v>13.0</v>
      </c>
      <c r="D404" s="36">
        <v>9808.0</v>
      </c>
      <c r="E404" s="36">
        <v>36.0</v>
      </c>
      <c r="F404" s="35">
        <f t="shared" si="1158"/>
        <v>37</v>
      </c>
      <c r="G404" s="63">
        <f t="shared" si="1159"/>
        <v>0.9189189189</v>
      </c>
      <c r="H404" s="39">
        <v>23.0</v>
      </c>
      <c r="I404" s="39">
        <f t="shared" si="1160"/>
        <v>23</v>
      </c>
      <c r="J404" s="39"/>
      <c r="K404" s="21">
        <v>2027.0</v>
      </c>
      <c r="L404" s="35">
        <v>2025.0</v>
      </c>
      <c r="M404" s="35"/>
      <c r="N404" s="35"/>
      <c r="O404" s="35"/>
      <c r="P404" s="39">
        <f t="shared" si="1161"/>
        <v>23</v>
      </c>
      <c r="Q404" s="35"/>
      <c r="R404" s="35"/>
      <c r="S404" s="35"/>
      <c r="T404" s="39">
        <f t="shared" si="1147"/>
        <v>23</v>
      </c>
      <c r="U404" s="35"/>
      <c r="V404" s="35"/>
      <c r="W404" s="35"/>
      <c r="X404" s="39">
        <f t="shared" si="1148"/>
        <v>23</v>
      </c>
      <c r="Y404" s="35"/>
      <c r="Z404" s="41">
        <v>11.0</v>
      </c>
      <c r="AA404" s="35"/>
      <c r="AB404" s="39">
        <f t="shared" si="1149"/>
        <v>34</v>
      </c>
      <c r="AC404" s="35"/>
      <c r="AD404" s="35"/>
      <c r="AE404" s="35"/>
      <c r="AF404" s="39">
        <f t="shared" si="1150"/>
        <v>34</v>
      </c>
      <c r="AG404" s="35"/>
      <c r="AH404" s="35"/>
      <c r="AI404" s="35"/>
      <c r="AJ404" s="39">
        <f t="shared" si="1151"/>
        <v>34</v>
      </c>
      <c r="AK404" s="35"/>
      <c r="AL404" s="35"/>
      <c r="AM404" s="35"/>
      <c r="AN404" s="39">
        <f t="shared" si="1152"/>
        <v>34</v>
      </c>
      <c r="AO404" s="35"/>
      <c r="AP404" s="35"/>
      <c r="AQ404" s="35"/>
      <c r="AR404" s="39">
        <f t="shared" si="1153"/>
        <v>34</v>
      </c>
      <c r="AS404" s="35"/>
      <c r="AT404" s="35"/>
      <c r="AU404" s="35"/>
      <c r="AV404" s="39">
        <f t="shared" si="1154"/>
        <v>34</v>
      </c>
      <c r="AW404" s="35"/>
      <c r="AX404" s="35"/>
      <c r="AY404" s="35"/>
      <c r="AZ404" s="39">
        <f t="shared" si="1155"/>
        <v>34</v>
      </c>
      <c r="BA404" s="35"/>
      <c r="BB404" s="35"/>
      <c r="BC404" s="35"/>
      <c r="BD404" s="39">
        <f t="shared" si="1156"/>
        <v>34</v>
      </c>
      <c r="BE404" s="35"/>
      <c r="BF404" s="35"/>
      <c r="BG404" s="35"/>
      <c r="BH404" s="39">
        <f t="shared" si="1157"/>
        <v>34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325</v>
      </c>
      <c r="C405" s="36">
        <v>14.0</v>
      </c>
      <c r="D405" s="36">
        <v>1503.0</v>
      </c>
      <c r="E405" s="36">
        <v>81.0</v>
      </c>
      <c r="F405" s="35">
        <f t="shared" si="1158"/>
        <v>82</v>
      </c>
      <c r="G405" s="63">
        <f t="shared" si="1159"/>
        <v>0.9024390244</v>
      </c>
      <c r="H405" s="39">
        <v>56.0</v>
      </c>
      <c r="I405" s="39">
        <f t="shared" si="1160"/>
        <v>56</v>
      </c>
      <c r="J405" s="39"/>
      <c r="K405" s="21">
        <v>2027.0</v>
      </c>
      <c r="L405" s="35">
        <v>2025.0</v>
      </c>
      <c r="M405" s="35"/>
      <c r="N405" s="35"/>
      <c r="O405" s="35"/>
      <c r="P405" s="39">
        <f t="shared" si="1161"/>
        <v>56</v>
      </c>
      <c r="Q405" s="35"/>
      <c r="R405" s="35"/>
      <c r="S405" s="35"/>
      <c r="T405" s="39">
        <f t="shared" si="1147"/>
        <v>56</v>
      </c>
      <c r="U405" s="35"/>
      <c r="V405" s="35"/>
      <c r="W405" s="35"/>
      <c r="X405" s="39">
        <f t="shared" si="1148"/>
        <v>56</v>
      </c>
      <c r="Y405" s="35"/>
      <c r="Z405" s="35"/>
      <c r="AA405" s="35"/>
      <c r="AB405" s="39">
        <f t="shared" si="1149"/>
        <v>56</v>
      </c>
      <c r="AC405" s="35"/>
      <c r="AD405" s="35"/>
      <c r="AE405" s="35"/>
      <c r="AF405" s="39">
        <f t="shared" si="1150"/>
        <v>56</v>
      </c>
      <c r="AG405" s="35"/>
      <c r="AH405" s="35"/>
      <c r="AI405" s="35"/>
      <c r="AJ405" s="39">
        <f t="shared" si="1151"/>
        <v>56</v>
      </c>
      <c r="AK405" s="35"/>
      <c r="AL405" s="35"/>
      <c r="AM405" s="35"/>
      <c r="AN405" s="39">
        <f t="shared" si="1152"/>
        <v>56</v>
      </c>
      <c r="AO405" s="35"/>
      <c r="AP405" s="35"/>
      <c r="AQ405" s="35"/>
      <c r="AR405" s="39">
        <f t="shared" si="1153"/>
        <v>56</v>
      </c>
      <c r="AS405" s="35"/>
      <c r="AT405" s="35"/>
      <c r="AU405" s="35"/>
      <c r="AV405" s="39">
        <f t="shared" si="1154"/>
        <v>56</v>
      </c>
      <c r="AW405" s="35"/>
      <c r="AX405" s="35"/>
      <c r="AY405" s="35"/>
      <c r="AZ405" s="39">
        <f t="shared" si="1155"/>
        <v>56</v>
      </c>
      <c r="BA405" s="35"/>
      <c r="BB405" s="35"/>
      <c r="BC405" s="35"/>
      <c r="BD405" s="39">
        <f t="shared" si="1156"/>
        <v>56</v>
      </c>
      <c r="BE405" s="41">
        <v>2.0</v>
      </c>
      <c r="BF405" s="41">
        <v>16.0</v>
      </c>
      <c r="BG405" s="35"/>
      <c r="BH405" s="39">
        <f t="shared" si="1157"/>
        <v>74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326</v>
      </c>
      <c r="C406" s="36">
        <v>17.0</v>
      </c>
      <c r="D406" s="36"/>
      <c r="E406" s="36">
        <v>35.0</v>
      </c>
      <c r="F406" s="35">
        <f t="shared" si="1158"/>
        <v>36</v>
      </c>
      <c r="G406" s="63">
        <f t="shared" si="1159"/>
        <v>0.4166666667</v>
      </c>
      <c r="H406" s="39">
        <v>15.0</v>
      </c>
      <c r="I406" s="39">
        <f t="shared" si="1160"/>
        <v>16</v>
      </c>
      <c r="J406" s="73">
        <v>1.0</v>
      </c>
      <c r="K406" s="21">
        <v>2027.0</v>
      </c>
      <c r="L406" s="35">
        <v>2025.0</v>
      </c>
      <c r="M406" s="35"/>
      <c r="N406" s="35"/>
      <c r="O406" s="35"/>
      <c r="P406" s="39">
        <f t="shared" si="1161"/>
        <v>15</v>
      </c>
      <c r="Q406" s="35"/>
      <c r="R406" s="35"/>
      <c r="S406" s="35"/>
      <c r="T406" s="39">
        <f t="shared" si="1147"/>
        <v>15</v>
      </c>
      <c r="U406" s="35"/>
      <c r="V406" s="35"/>
      <c r="W406" s="35"/>
      <c r="X406" s="39">
        <f t="shared" si="1148"/>
        <v>15</v>
      </c>
      <c r="Y406" s="35"/>
      <c r="Z406" s="35"/>
      <c r="AA406" s="35"/>
      <c r="AB406" s="39">
        <f t="shared" si="1149"/>
        <v>15</v>
      </c>
      <c r="AC406" s="35"/>
      <c r="AD406" s="35"/>
      <c r="AE406" s="35"/>
      <c r="AF406" s="39">
        <f t="shared" si="1150"/>
        <v>15</v>
      </c>
      <c r="AG406" s="35"/>
      <c r="AH406" s="35"/>
      <c r="AI406" s="35"/>
      <c r="AJ406" s="39">
        <f t="shared" si="1151"/>
        <v>15</v>
      </c>
      <c r="AK406" s="35"/>
      <c r="AL406" s="35"/>
      <c r="AM406" s="35"/>
      <c r="AN406" s="39">
        <f t="shared" si="1152"/>
        <v>15</v>
      </c>
      <c r="AO406" s="35"/>
      <c r="AP406" s="35"/>
      <c r="AQ406" s="35"/>
      <c r="AR406" s="39">
        <f t="shared" si="1153"/>
        <v>15</v>
      </c>
      <c r="AS406" s="35"/>
      <c r="AT406" s="35"/>
      <c r="AU406" s="35"/>
      <c r="AV406" s="39">
        <f t="shared" si="1154"/>
        <v>15</v>
      </c>
      <c r="AW406" s="35"/>
      <c r="AX406" s="35"/>
      <c r="AY406" s="35"/>
      <c r="AZ406" s="39">
        <f t="shared" si="1155"/>
        <v>15</v>
      </c>
      <c r="BA406" s="35"/>
      <c r="BB406" s="35"/>
      <c r="BC406" s="35"/>
      <c r="BD406" s="39">
        <f t="shared" si="1156"/>
        <v>15</v>
      </c>
      <c r="BE406" s="35"/>
      <c r="BF406" s="35"/>
      <c r="BG406" s="35"/>
      <c r="BH406" s="39">
        <f t="shared" si="1157"/>
        <v>15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327</v>
      </c>
      <c r="C407" s="36">
        <v>18.0</v>
      </c>
      <c r="D407" s="36"/>
      <c r="E407" s="36">
        <v>18.0</v>
      </c>
      <c r="F407" s="35">
        <f t="shared" si="1158"/>
        <v>19</v>
      </c>
      <c r="G407" s="63">
        <f t="shared" si="1159"/>
        <v>1</v>
      </c>
      <c r="H407" s="39">
        <v>10.0</v>
      </c>
      <c r="I407" s="39">
        <f t="shared" si="1160"/>
        <v>11</v>
      </c>
      <c r="J407" s="73">
        <v>1.0</v>
      </c>
      <c r="K407" s="35">
        <v>2025.0</v>
      </c>
      <c r="L407" s="35">
        <v>2025.0</v>
      </c>
      <c r="M407" s="35">
        <v>2.0</v>
      </c>
      <c r="N407" s="35"/>
      <c r="O407" s="35"/>
      <c r="P407" s="39">
        <f t="shared" si="1161"/>
        <v>12</v>
      </c>
      <c r="Q407" s="35"/>
      <c r="R407" s="35"/>
      <c r="S407" s="35"/>
      <c r="T407" s="39">
        <f t="shared" si="1147"/>
        <v>12</v>
      </c>
      <c r="U407" s="35"/>
      <c r="V407" s="35"/>
      <c r="W407" s="35"/>
      <c r="X407" s="39">
        <f t="shared" si="1148"/>
        <v>12</v>
      </c>
      <c r="Y407" s="35"/>
      <c r="Z407" s="35"/>
      <c r="AA407" s="35"/>
      <c r="AB407" s="39">
        <f t="shared" si="1149"/>
        <v>12</v>
      </c>
      <c r="AC407" s="35"/>
      <c r="AD407" s="35"/>
      <c r="AE407" s="35"/>
      <c r="AF407" s="39">
        <f t="shared" si="1150"/>
        <v>12</v>
      </c>
      <c r="AG407" s="35"/>
      <c r="AH407" s="35"/>
      <c r="AI407" s="35"/>
      <c r="AJ407" s="39">
        <f t="shared" si="1151"/>
        <v>12</v>
      </c>
      <c r="AK407" s="35"/>
      <c r="AL407" s="35"/>
      <c r="AM407" s="35"/>
      <c r="AN407" s="39">
        <f t="shared" si="1152"/>
        <v>12</v>
      </c>
      <c r="AO407" s="35"/>
      <c r="AP407" s="41">
        <v>7.0</v>
      </c>
      <c r="AQ407" s="35"/>
      <c r="AR407" s="39">
        <f t="shared" si="1153"/>
        <v>19</v>
      </c>
      <c r="AS407" s="35"/>
      <c r="AT407" s="35"/>
      <c r="AU407" s="35"/>
      <c r="AV407" s="39">
        <f t="shared" si="1154"/>
        <v>19</v>
      </c>
      <c r="AW407" s="35"/>
      <c r="AX407" s="35"/>
      <c r="AY407" s="35"/>
      <c r="AZ407" s="39">
        <f t="shared" si="1155"/>
        <v>19</v>
      </c>
      <c r="BA407" s="35"/>
      <c r="BB407" s="35"/>
      <c r="BC407" s="35"/>
      <c r="BD407" s="39">
        <f t="shared" si="1156"/>
        <v>19</v>
      </c>
      <c r="BE407" s="35"/>
      <c r="BF407" s="35"/>
      <c r="BG407" s="35"/>
      <c r="BH407" s="39">
        <f t="shared" si="1157"/>
        <v>19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6" t="s">
        <v>328</v>
      </c>
      <c r="C408" s="36">
        <v>19.0</v>
      </c>
      <c r="D408" s="35"/>
      <c r="E408" s="35">
        <v>31.0</v>
      </c>
      <c r="F408" s="35">
        <f t="shared" si="1158"/>
        <v>32</v>
      </c>
      <c r="G408" s="63">
        <f t="shared" si="1159"/>
        <v>0.875</v>
      </c>
      <c r="H408" s="39">
        <v>14.0</v>
      </c>
      <c r="I408" s="39">
        <f t="shared" si="1160"/>
        <v>21</v>
      </c>
      <c r="J408" s="73">
        <v>7.0</v>
      </c>
      <c r="K408" s="35">
        <v>2027.0</v>
      </c>
      <c r="L408" s="35">
        <v>2025.0</v>
      </c>
      <c r="M408" s="35"/>
      <c r="N408" s="35"/>
      <c r="O408" s="35"/>
      <c r="P408" s="39">
        <f t="shared" si="1161"/>
        <v>14</v>
      </c>
      <c r="Q408" s="35"/>
      <c r="R408" s="35"/>
      <c r="S408" s="35"/>
      <c r="T408" s="39">
        <f t="shared" si="1147"/>
        <v>14</v>
      </c>
      <c r="U408" s="35">
        <v>1.0</v>
      </c>
      <c r="V408" s="35">
        <v>12.0</v>
      </c>
      <c r="W408" s="35"/>
      <c r="X408" s="39">
        <f t="shared" si="1148"/>
        <v>27</v>
      </c>
      <c r="Y408" s="35"/>
      <c r="Z408" s="35"/>
      <c r="AA408" s="35"/>
      <c r="AB408" s="39">
        <f t="shared" si="1149"/>
        <v>27</v>
      </c>
      <c r="AC408" s="35"/>
      <c r="AD408" s="35"/>
      <c r="AE408" s="35"/>
      <c r="AF408" s="39">
        <f t="shared" si="1150"/>
        <v>27</v>
      </c>
      <c r="AG408" s="35"/>
      <c r="AH408" s="35"/>
      <c r="AI408" s="35"/>
      <c r="AJ408" s="39">
        <f t="shared" si="1151"/>
        <v>27</v>
      </c>
      <c r="AK408" s="35"/>
      <c r="AL408" s="35"/>
      <c r="AM408" s="35"/>
      <c r="AN408" s="39">
        <f t="shared" si="1152"/>
        <v>27</v>
      </c>
      <c r="AO408" s="35"/>
      <c r="AP408" s="35"/>
      <c r="AQ408" s="35"/>
      <c r="AR408" s="39">
        <f t="shared" si="1153"/>
        <v>27</v>
      </c>
      <c r="AS408" s="35"/>
      <c r="AT408" s="35"/>
      <c r="AU408" s="35"/>
      <c r="AV408" s="39">
        <f t="shared" si="1154"/>
        <v>27</v>
      </c>
      <c r="AW408" s="35"/>
      <c r="AX408" s="35"/>
      <c r="AY408" s="35"/>
      <c r="AZ408" s="39">
        <f t="shared" si="1155"/>
        <v>27</v>
      </c>
      <c r="BA408" s="41">
        <v>1.0</v>
      </c>
      <c r="BB408" s="35"/>
      <c r="BC408" s="35"/>
      <c r="BD408" s="39">
        <f t="shared" si="1156"/>
        <v>28</v>
      </c>
      <c r="BE408" s="35"/>
      <c r="BF408" s="35"/>
      <c r="BG408" s="35"/>
      <c r="BH408" s="39">
        <f t="shared" si="1157"/>
        <v>28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6" t="s">
        <v>329</v>
      </c>
      <c r="C409" s="36">
        <v>21.0</v>
      </c>
      <c r="D409" s="35"/>
      <c r="E409" s="41">
        <v>15.0</v>
      </c>
      <c r="F409" s="35">
        <f t="shared" si="1158"/>
        <v>16</v>
      </c>
      <c r="G409" s="63">
        <f t="shared" si="1159"/>
        <v>1.8125</v>
      </c>
      <c r="H409" s="39">
        <v>4.0</v>
      </c>
      <c r="I409" s="39">
        <f t="shared" si="1160"/>
        <v>7</v>
      </c>
      <c r="J409" s="73">
        <v>3.0</v>
      </c>
      <c r="K409" s="35"/>
      <c r="L409" s="35">
        <v>2025.0</v>
      </c>
      <c r="M409" s="35"/>
      <c r="N409" s="35"/>
      <c r="O409" s="35"/>
      <c r="P409" s="39">
        <f t="shared" si="1161"/>
        <v>4</v>
      </c>
      <c r="Q409" s="41">
        <v>2.0</v>
      </c>
      <c r="R409" s="35">
        <v>17.0</v>
      </c>
      <c r="S409" s="35"/>
      <c r="T409" s="39">
        <f t="shared" si="1147"/>
        <v>23</v>
      </c>
      <c r="U409" s="41">
        <v>2.0</v>
      </c>
      <c r="V409" s="35"/>
      <c r="W409" s="35"/>
      <c r="X409" s="39">
        <f t="shared" si="1148"/>
        <v>25</v>
      </c>
      <c r="Y409" s="41">
        <v>4.0</v>
      </c>
      <c r="Z409" s="35"/>
      <c r="AA409" s="35"/>
      <c r="AB409" s="39">
        <f t="shared" si="1149"/>
        <v>29</v>
      </c>
      <c r="AC409" s="35"/>
      <c r="AD409" s="35"/>
      <c r="AE409" s="35"/>
      <c r="AF409" s="39">
        <f t="shared" si="1150"/>
        <v>29</v>
      </c>
      <c r="AG409" s="35"/>
      <c r="AH409" s="35"/>
      <c r="AI409" s="35"/>
      <c r="AJ409" s="39">
        <f t="shared" si="1151"/>
        <v>29</v>
      </c>
      <c r="AK409" s="35"/>
      <c r="AL409" s="35"/>
      <c r="AM409" s="35"/>
      <c r="AN409" s="39">
        <f t="shared" si="1152"/>
        <v>29</v>
      </c>
      <c r="AO409" s="35"/>
      <c r="AP409" s="35"/>
      <c r="AQ409" s="35"/>
      <c r="AR409" s="39">
        <f t="shared" si="1153"/>
        <v>29</v>
      </c>
      <c r="AS409" s="35"/>
      <c r="AT409" s="35"/>
      <c r="AU409" s="35"/>
      <c r="AV409" s="39">
        <f t="shared" si="1154"/>
        <v>29</v>
      </c>
      <c r="AW409" s="35"/>
      <c r="AX409" s="35"/>
      <c r="AY409" s="35"/>
      <c r="AZ409" s="39">
        <f t="shared" si="1155"/>
        <v>29</v>
      </c>
      <c r="BA409" s="35"/>
      <c r="BB409" s="35"/>
      <c r="BC409" s="35"/>
      <c r="BD409" s="39">
        <f t="shared" si="1156"/>
        <v>29</v>
      </c>
      <c r="BE409" s="35"/>
      <c r="BF409" s="35"/>
      <c r="BG409" s="35"/>
      <c r="BH409" s="39">
        <f t="shared" si="1157"/>
        <v>29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>
      <c r="A410" s="35"/>
      <c r="B410" s="35"/>
      <c r="C410" s="35"/>
      <c r="D410" s="35"/>
      <c r="E410" s="35"/>
      <c r="F410" s="35"/>
      <c r="G410" s="35"/>
      <c r="H410" s="39"/>
      <c r="I410" s="39"/>
      <c r="J410" s="39"/>
      <c r="K410" s="35"/>
      <c r="L410" s="35"/>
      <c r="M410" s="35">
        <f t="shared" ref="M410:O410" si="1162">SUM(M399:M408)</f>
        <v>2</v>
      </c>
      <c r="N410" s="35">
        <f t="shared" si="1162"/>
        <v>2</v>
      </c>
      <c r="O410" s="35">
        <f t="shared" si="1162"/>
        <v>0</v>
      </c>
      <c r="P410" s="39">
        <f>SUM(P398:P408)</f>
        <v>249</v>
      </c>
      <c r="Q410" s="39">
        <f>SUM(Q398:Q409)</f>
        <v>2</v>
      </c>
      <c r="R410" s="39">
        <f t="shared" ref="R410:T410" si="1163">SUM(R398:R408)</f>
        <v>0</v>
      </c>
      <c r="S410" s="39">
        <f t="shared" si="1163"/>
        <v>0</v>
      </c>
      <c r="T410" s="39">
        <f t="shared" si="1163"/>
        <v>249</v>
      </c>
      <c r="U410" s="39">
        <f>SUM(U398:U409)</f>
        <v>3</v>
      </c>
      <c r="V410" s="39">
        <f t="shared" ref="V410:X410" si="1164">SUM(V398:V408)</f>
        <v>17</v>
      </c>
      <c r="W410" s="39">
        <f t="shared" si="1164"/>
        <v>0</v>
      </c>
      <c r="X410" s="39">
        <f t="shared" si="1164"/>
        <v>267</v>
      </c>
      <c r="Y410" s="39">
        <f>SUM(Y398:Y409)</f>
        <v>4</v>
      </c>
      <c r="Z410" s="39">
        <f t="shared" ref="Z410:BH410" si="1165">SUM(Z398:Z408)</f>
        <v>19</v>
      </c>
      <c r="AA410" s="39">
        <f t="shared" si="1165"/>
        <v>0</v>
      </c>
      <c r="AB410" s="39">
        <f t="shared" si="1165"/>
        <v>286</v>
      </c>
      <c r="AC410" s="39">
        <f t="shared" si="1165"/>
        <v>0</v>
      </c>
      <c r="AD410" s="39">
        <f t="shared" si="1165"/>
        <v>0</v>
      </c>
      <c r="AE410" s="39">
        <f t="shared" si="1165"/>
        <v>0</v>
      </c>
      <c r="AF410" s="39">
        <f t="shared" si="1165"/>
        <v>286</v>
      </c>
      <c r="AG410" s="39">
        <f t="shared" si="1165"/>
        <v>0</v>
      </c>
      <c r="AH410" s="39">
        <f t="shared" si="1165"/>
        <v>0</v>
      </c>
      <c r="AI410" s="39">
        <f t="shared" si="1165"/>
        <v>0</v>
      </c>
      <c r="AJ410" s="39">
        <f t="shared" si="1165"/>
        <v>286</v>
      </c>
      <c r="AK410" s="39">
        <f t="shared" si="1165"/>
        <v>0</v>
      </c>
      <c r="AL410" s="39">
        <f t="shared" si="1165"/>
        <v>0</v>
      </c>
      <c r="AM410" s="39">
        <f t="shared" si="1165"/>
        <v>0</v>
      </c>
      <c r="AN410" s="39">
        <f t="shared" si="1165"/>
        <v>286</v>
      </c>
      <c r="AO410" s="39">
        <f t="shared" si="1165"/>
        <v>0</v>
      </c>
      <c r="AP410" s="39">
        <f t="shared" si="1165"/>
        <v>7</v>
      </c>
      <c r="AQ410" s="39">
        <f t="shared" si="1165"/>
        <v>0</v>
      </c>
      <c r="AR410" s="39">
        <f t="shared" si="1165"/>
        <v>293</v>
      </c>
      <c r="AS410" s="39">
        <f t="shared" si="1165"/>
        <v>0</v>
      </c>
      <c r="AT410" s="39">
        <f t="shared" si="1165"/>
        <v>6</v>
      </c>
      <c r="AU410" s="39">
        <f t="shared" si="1165"/>
        <v>5</v>
      </c>
      <c r="AV410" s="39">
        <f t="shared" si="1165"/>
        <v>304</v>
      </c>
      <c r="AW410" s="39">
        <f t="shared" si="1165"/>
        <v>1</v>
      </c>
      <c r="AX410" s="39">
        <f t="shared" si="1165"/>
        <v>7</v>
      </c>
      <c r="AY410" s="39">
        <f t="shared" si="1165"/>
        <v>0</v>
      </c>
      <c r="AZ410" s="39">
        <f t="shared" si="1165"/>
        <v>312</v>
      </c>
      <c r="BA410" s="39">
        <f t="shared" si="1165"/>
        <v>1</v>
      </c>
      <c r="BB410" s="39">
        <f t="shared" si="1165"/>
        <v>0</v>
      </c>
      <c r="BC410" s="39">
        <f t="shared" si="1165"/>
        <v>0</v>
      </c>
      <c r="BD410" s="39">
        <f t="shared" si="1165"/>
        <v>313</v>
      </c>
      <c r="BE410" s="39">
        <f t="shared" si="1165"/>
        <v>2</v>
      </c>
      <c r="BF410" s="39">
        <f t="shared" si="1165"/>
        <v>25</v>
      </c>
      <c r="BG410" s="39">
        <f t="shared" si="1165"/>
        <v>0</v>
      </c>
      <c r="BH410" s="39">
        <f t="shared" si="1165"/>
        <v>340</v>
      </c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>
      <c r="A411" s="35"/>
      <c r="B411" s="35" t="s">
        <v>35</v>
      </c>
      <c r="C411" s="35">
        <f>COUNT(C399:C410)</f>
        <v>11</v>
      </c>
      <c r="D411" s="35"/>
      <c r="E411" s="35">
        <f>SUM(E398:E409)</f>
        <v>394</v>
      </c>
      <c r="F411" s="35">
        <f>SUM(E398:E408)+1</f>
        <v>380</v>
      </c>
      <c r="G411" s="63">
        <f>$BH410/F411</f>
        <v>0.8947368421</v>
      </c>
      <c r="H411" s="39">
        <f t="shared" ref="H411:J411" si="1166">SUM(H398:H408)</f>
        <v>245</v>
      </c>
      <c r="I411" s="39">
        <f t="shared" si="1166"/>
        <v>257</v>
      </c>
      <c r="J411" s="39">
        <f t="shared" si="1166"/>
        <v>12</v>
      </c>
      <c r="K411" s="35"/>
      <c r="L411" s="35"/>
      <c r="M411" s="35"/>
      <c r="N411" s="35"/>
      <c r="O411" s="35"/>
      <c r="P411" s="63">
        <f>P410/F411</f>
        <v>0.6552631579</v>
      </c>
      <c r="Q411" s="39">
        <f t="shared" ref="Q411:S411" si="1167">M410+Q410</f>
        <v>4</v>
      </c>
      <c r="R411" s="39">
        <f t="shared" si="1167"/>
        <v>2</v>
      </c>
      <c r="S411" s="39">
        <f t="shared" si="1167"/>
        <v>0</v>
      </c>
      <c r="T411" s="63">
        <f>T410/F411</f>
        <v>0.6552631579</v>
      </c>
      <c r="U411" s="39">
        <f t="shared" ref="U411:W411" si="1168">Q411+U410</f>
        <v>7</v>
      </c>
      <c r="V411" s="39">
        <f t="shared" si="1168"/>
        <v>19</v>
      </c>
      <c r="W411" s="39">
        <f t="shared" si="1168"/>
        <v>0</v>
      </c>
      <c r="X411" s="63">
        <f>X410/F411</f>
        <v>0.7026315789</v>
      </c>
      <c r="Y411" s="39">
        <f t="shared" ref="Y411:AA411" si="1169">U411+Y410</f>
        <v>11</v>
      </c>
      <c r="Z411" s="39">
        <f t="shared" si="1169"/>
        <v>38</v>
      </c>
      <c r="AA411" s="39">
        <f t="shared" si="1169"/>
        <v>0</v>
      </c>
      <c r="AB411" s="63">
        <f>AB410/F411</f>
        <v>0.7526315789</v>
      </c>
      <c r="AC411" s="39">
        <f t="shared" ref="AC411:AE411" si="1170">Y411+AC410</f>
        <v>11</v>
      </c>
      <c r="AD411" s="39">
        <f t="shared" si="1170"/>
        <v>38</v>
      </c>
      <c r="AE411" s="39">
        <f t="shared" si="1170"/>
        <v>0</v>
      </c>
      <c r="AF411" s="63">
        <f>AF410/F411</f>
        <v>0.7526315789</v>
      </c>
      <c r="AG411" s="39">
        <f t="shared" ref="AG411:AI411" si="1171">AC411+AG410</f>
        <v>11</v>
      </c>
      <c r="AH411" s="39">
        <f t="shared" si="1171"/>
        <v>38</v>
      </c>
      <c r="AI411" s="39">
        <f t="shared" si="1171"/>
        <v>0</v>
      </c>
      <c r="AJ411" s="63">
        <f>AJ410/F411</f>
        <v>0.7526315789</v>
      </c>
      <c r="AK411" s="39">
        <f t="shared" ref="AK411:AM411" si="1172">AG411+AK410</f>
        <v>11</v>
      </c>
      <c r="AL411" s="39">
        <f t="shared" si="1172"/>
        <v>38</v>
      </c>
      <c r="AM411" s="39">
        <f t="shared" si="1172"/>
        <v>0</v>
      </c>
      <c r="AN411" s="63">
        <f>AN410/F411</f>
        <v>0.7526315789</v>
      </c>
      <c r="AO411" s="39">
        <f t="shared" ref="AO411:AQ411" si="1173">AK411+AO410</f>
        <v>11</v>
      </c>
      <c r="AP411" s="39">
        <f t="shared" si="1173"/>
        <v>45</v>
      </c>
      <c r="AQ411" s="39">
        <f t="shared" si="1173"/>
        <v>0</v>
      </c>
      <c r="AR411" s="63">
        <f>AR410/F411</f>
        <v>0.7710526316</v>
      </c>
      <c r="AS411" s="39">
        <f t="shared" ref="AS411:AU411" si="1174">AO411+AS410</f>
        <v>11</v>
      </c>
      <c r="AT411" s="39">
        <f t="shared" si="1174"/>
        <v>51</v>
      </c>
      <c r="AU411" s="39">
        <f t="shared" si="1174"/>
        <v>5</v>
      </c>
      <c r="AV411" s="63">
        <f>AV410/F411</f>
        <v>0.8</v>
      </c>
      <c r="AW411" s="39">
        <f t="shared" ref="AW411:AY411" si="1175">AS411+AW410</f>
        <v>12</v>
      </c>
      <c r="AX411" s="39">
        <f t="shared" si="1175"/>
        <v>58</v>
      </c>
      <c r="AY411" s="39">
        <f t="shared" si="1175"/>
        <v>5</v>
      </c>
      <c r="AZ411" s="63">
        <f>AZ410/F411</f>
        <v>0.8210526316</v>
      </c>
      <c r="BA411" s="39">
        <f t="shared" ref="BA411:BC411" si="1176">AW411+BA410</f>
        <v>13</v>
      </c>
      <c r="BB411" s="39">
        <f t="shared" si="1176"/>
        <v>58</v>
      </c>
      <c r="BC411" s="39">
        <f t="shared" si="1176"/>
        <v>5</v>
      </c>
      <c r="BD411" s="63">
        <f>BD410/F411</f>
        <v>0.8236842105</v>
      </c>
      <c r="BE411" s="39">
        <f t="shared" ref="BE411:BG411" si="1177">BA411+BE410</f>
        <v>15</v>
      </c>
      <c r="BF411" s="39">
        <f t="shared" si="1177"/>
        <v>83</v>
      </c>
      <c r="BG411" s="39">
        <f t="shared" si="1177"/>
        <v>5</v>
      </c>
      <c r="BH411" s="63">
        <f>BH410/F411</f>
        <v>0.8947368421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8.75" customHeight="1">
      <c r="A412" s="27"/>
      <c r="B412" s="24"/>
      <c r="C412" s="24"/>
      <c r="D412" s="24"/>
      <c r="E412" s="136"/>
      <c r="F412" s="24"/>
      <c r="G412" s="28"/>
      <c r="H412" s="23"/>
      <c r="I412" s="23"/>
      <c r="J412" s="23"/>
      <c r="K412" s="24"/>
      <c r="L412" s="24"/>
      <c r="M412" s="24"/>
      <c r="N412" s="24"/>
      <c r="O412" s="24"/>
      <c r="P412" s="23"/>
      <c r="Q412" s="24"/>
      <c r="R412" s="24"/>
      <c r="S412" s="24"/>
      <c r="T412" s="21"/>
      <c r="U412" s="24"/>
      <c r="V412" s="24"/>
      <c r="W412" s="24"/>
      <c r="X412" s="21"/>
      <c r="Y412" s="24"/>
      <c r="Z412" s="24"/>
      <c r="AA412" s="24"/>
      <c r="AB412" s="21"/>
      <c r="AC412" s="24"/>
      <c r="AD412" s="24"/>
      <c r="AE412" s="24"/>
      <c r="AF412" s="21"/>
      <c r="AG412" s="24"/>
      <c r="AH412" s="24"/>
      <c r="AI412" s="24"/>
      <c r="AJ412" s="21"/>
      <c r="AK412" s="24"/>
      <c r="AL412" s="24"/>
      <c r="AM412" s="24"/>
      <c r="AN412" s="21"/>
      <c r="AO412" s="24"/>
      <c r="AP412" s="24"/>
      <c r="AQ412" s="24"/>
      <c r="AR412" s="21"/>
      <c r="AS412" s="24"/>
      <c r="AT412" s="24"/>
      <c r="AU412" s="24"/>
      <c r="AV412" s="21"/>
      <c r="AW412" s="24"/>
      <c r="AX412" s="24"/>
      <c r="AY412" s="24"/>
      <c r="AZ412" s="21"/>
      <c r="BA412" s="24"/>
      <c r="BB412" s="24"/>
      <c r="BC412" s="24"/>
      <c r="BD412" s="21"/>
      <c r="BE412" s="24"/>
      <c r="BF412" s="24"/>
      <c r="BG412" s="24"/>
      <c r="BH412" s="21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 ht="18.75" customHeight="1">
      <c r="A413" s="27" t="s">
        <v>330</v>
      </c>
      <c r="B413" s="24"/>
      <c r="C413" s="24"/>
      <c r="D413" s="24"/>
      <c r="E413" s="136"/>
      <c r="F413" s="24"/>
      <c r="G413" s="28"/>
      <c r="H413" s="23"/>
      <c r="I413" s="23"/>
      <c r="J413" s="23"/>
      <c r="K413" s="24">
        <v>2027.0</v>
      </c>
      <c r="L413" s="24">
        <v>2025.0</v>
      </c>
      <c r="M413" s="24"/>
      <c r="N413" s="24"/>
      <c r="O413" s="24"/>
      <c r="P413" s="23"/>
      <c r="Q413" s="24"/>
      <c r="R413" s="24"/>
      <c r="S413" s="24"/>
      <c r="T413" s="21"/>
      <c r="U413" s="24"/>
      <c r="V413" s="24"/>
      <c r="W413" s="24"/>
      <c r="X413" s="21"/>
      <c r="Y413" s="24"/>
      <c r="Z413" s="24"/>
      <c r="AA413" s="24"/>
      <c r="AB413" s="21"/>
      <c r="AC413" s="24"/>
      <c r="AD413" s="24"/>
      <c r="AE413" s="24"/>
      <c r="AF413" s="21"/>
      <c r="AG413" s="24"/>
      <c r="AH413" s="24"/>
      <c r="AI413" s="24"/>
      <c r="AJ413" s="21"/>
      <c r="AK413" s="24"/>
      <c r="AL413" s="24"/>
      <c r="AM413" s="24"/>
      <c r="AN413" s="21"/>
      <c r="AO413" s="24"/>
      <c r="AP413" s="24"/>
      <c r="AQ413" s="24"/>
      <c r="AR413" s="21"/>
      <c r="AS413" s="24"/>
      <c r="AT413" s="24"/>
      <c r="AU413" s="24"/>
      <c r="AV413" s="21"/>
      <c r="AW413" s="24"/>
      <c r="AX413" s="24"/>
      <c r="AY413" s="24"/>
      <c r="AZ413" s="21"/>
      <c r="BA413" s="24"/>
      <c r="BB413" s="24"/>
      <c r="BC413" s="24"/>
      <c r="BD413" s="21"/>
      <c r="BE413" s="24"/>
      <c r="BF413" s="24"/>
      <c r="BG413" s="24"/>
      <c r="BH413" s="21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 ht="15.0" customHeight="1">
      <c r="A414" s="21"/>
      <c r="B414" s="49" t="s">
        <v>331</v>
      </c>
      <c r="C414" s="49">
        <v>3.0</v>
      </c>
      <c r="D414" s="49">
        <v>2224.0</v>
      </c>
      <c r="E414" s="49">
        <v>63.0</v>
      </c>
      <c r="F414" s="21">
        <f t="shared" ref="F414:F417" si="1178">E414+1</f>
        <v>64</v>
      </c>
      <c r="G414" s="28">
        <f t="shared" ref="G414:G422" si="1179">$BH414/F414</f>
        <v>1</v>
      </c>
      <c r="H414" s="23">
        <v>28.0</v>
      </c>
      <c r="I414" s="23">
        <f t="shared" ref="I414:I417" si="1180">+H414+J414</f>
        <v>28</v>
      </c>
      <c r="J414" s="25"/>
      <c r="K414" s="24">
        <v>2027.0</v>
      </c>
      <c r="L414" s="24">
        <v>2025.0</v>
      </c>
      <c r="M414" s="21"/>
      <c r="N414" s="21"/>
      <c r="O414" s="21"/>
      <c r="P414" s="25">
        <f t="shared" ref="P414:P422" si="1181">SUM(M414:O414)+H414</f>
        <v>28</v>
      </c>
      <c r="Q414" s="21"/>
      <c r="R414" s="21"/>
      <c r="S414" s="21"/>
      <c r="T414" s="25">
        <f t="shared" ref="T414:T422" si="1182">SUM(P414:S414)</f>
        <v>28</v>
      </c>
      <c r="U414" s="21"/>
      <c r="V414" s="21"/>
      <c r="W414" s="21"/>
      <c r="X414" s="25">
        <f t="shared" ref="X414:X422" si="1183">SUM(T414:W414)</f>
        <v>28</v>
      </c>
      <c r="Y414" s="21"/>
      <c r="Z414" s="18">
        <v>35.0</v>
      </c>
      <c r="AA414" s="21"/>
      <c r="AB414" s="25">
        <f t="shared" ref="AB414:AB422" si="1184">SUM(X414:AA414)</f>
        <v>63</v>
      </c>
      <c r="AC414" s="21"/>
      <c r="AD414" s="21"/>
      <c r="AE414" s="21"/>
      <c r="AF414" s="25">
        <f t="shared" ref="AF414:AF422" si="1185">SUM(AB414:AE414)</f>
        <v>63</v>
      </c>
      <c r="AG414" s="21"/>
      <c r="AH414" s="21"/>
      <c r="AI414" s="21"/>
      <c r="AJ414" s="25">
        <f t="shared" ref="AJ414:AJ422" si="1186">SUM(AF414:AI414)</f>
        <v>63</v>
      </c>
      <c r="AK414" s="21"/>
      <c r="AL414" s="21"/>
      <c r="AM414" s="21"/>
      <c r="AN414" s="25">
        <f t="shared" ref="AN414:AN422" si="1187">SUM(AJ414:AM414)</f>
        <v>63</v>
      </c>
      <c r="AO414" s="21"/>
      <c r="AP414" s="21"/>
      <c r="AQ414" s="21"/>
      <c r="AR414" s="25">
        <f t="shared" ref="AR414:AR422" si="1188">SUM(AN414:AQ414)</f>
        <v>63</v>
      </c>
      <c r="AS414" s="21"/>
      <c r="AT414" s="21"/>
      <c r="AU414" s="21"/>
      <c r="AV414" s="25">
        <f t="shared" ref="AV414:AV422" si="1189">SUM(AR414:AU414)</f>
        <v>63</v>
      </c>
      <c r="AW414" s="21"/>
      <c r="AX414" s="21"/>
      <c r="AY414" s="21"/>
      <c r="AZ414" s="25">
        <f t="shared" ref="AZ414:AZ422" si="1190">SUM(AV414:AY414)</f>
        <v>63</v>
      </c>
      <c r="BA414" s="18">
        <v>1.0</v>
      </c>
      <c r="BB414" s="21"/>
      <c r="BC414" s="21"/>
      <c r="BD414" s="25">
        <f t="shared" ref="BD414:BD422" si="1191">SUM(AZ414:BC414)</f>
        <v>64</v>
      </c>
      <c r="BE414" s="21"/>
      <c r="BF414" s="21"/>
      <c r="BG414" s="21"/>
      <c r="BH414" s="25">
        <f t="shared" ref="BH414:BH422" si="1192">SUM(BD414:BG414)</f>
        <v>64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4.0</v>
      </c>
      <c r="D415" s="36">
        <v>2329.0</v>
      </c>
      <c r="E415" s="36">
        <v>21.0</v>
      </c>
      <c r="F415" s="21">
        <f t="shared" si="1178"/>
        <v>22</v>
      </c>
      <c r="G415" s="37">
        <f t="shared" si="1179"/>
        <v>0.9090909091</v>
      </c>
      <c r="H415" s="38">
        <v>14.0</v>
      </c>
      <c r="I415" s="38">
        <f t="shared" si="1180"/>
        <v>14</v>
      </c>
      <c r="J415" s="39"/>
      <c r="K415" s="137" t="s">
        <v>333</v>
      </c>
      <c r="L415" s="24">
        <v>2025.0</v>
      </c>
      <c r="M415" s="35"/>
      <c r="N415" s="35">
        <v>5.0</v>
      </c>
      <c r="O415" s="35"/>
      <c r="P415" s="39">
        <f t="shared" si="1181"/>
        <v>19</v>
      </c>
      <c r="Q415" s="35"/>
      <c r="R415" s="35"/>
      <c r="S415" s="35"/>
      <c r="T415" s="39">
        <f t="shared" si="1182"/>
        <v>19</v>
      </c>
      <c r="U415" s="35"/>
      <c r="V415" s="35"/>
      <c r="W415" s="35"/>
      <c r="X415" s="39">
        <f t="shared" si="1183"/>
        <v>19</v>
      </c>
      <c r="Y415" s="35"/>
      <c r="Z415" s="35"/>
      <c r="AA415" s="35"/>
      <c r="AB415" s="39">
        <f t="shared" si="1184"/>
        <v>19</v>
      </c>
      <c r="AC415" s="35"/>
      <c r="AD415" s="35"/>
      <c r="AE415" s="35"/>
      <c r="AF415" s="39">
        <f t="shared" si="1185"/>
        <v>19</v>
      </c>
      <c r="AG415" s="35">
        <v>1.0</v>
      </c>
      <c r="AH415" s="35"/>
      <c r="AI415" s="35"/>
      <c r="AJ415" s="39">
        <f t="shared" si="1186"/>
        <v>20</v>
      </c>
      <c r="AK415" s="35"/>
      <c r="AL415" s="35"/>
      <c r="AM415" s="35"/>
      <c r="AN415" s="39">
        <f t="shared" si="1187"/>
        <v>20</v>
      </c>
      <c r="AO415" s="35"/>
      <c r="AP415" s="35"/>
      <c r="AQ415" s="35"/>
      <c r="AR415" s="39">
        <f t="shared" si="1188"/>
        <v>20</v>
      </c>
      <c r="AS415" s="35"/>
      <c r="AT415" s="35"/>
      <c r="AU415" s="35"/>
      <c r="AV415" s="39">
        <f t="shared" si="1189"/>
        <v>20</v>
      </c>
      <c r="AW415" s="35"/>
      <c r="AX415" s="35"/>
      <c r="AY415" s="35"/>
      <c r="AZ415" s="39">
        <f t="shared" si="1190"/>
        <v>20</v>
      </c>
      <c r="BA415" s="35"/>
      <c r="BB415" s="35"/>
      <c r="BC415" s="35"/>
      <c r="BD415" s="39">
        <f t="shared" si="1191"/>
        <v>20</v>
      </c>
      <c r="BE415" s="35"/>
      <c r="BF415" s="35"/>
      <c r="BG415" s="35"/>
      <c r="BH415" s="39">
        <f t="shared" si="1192"/>
        <v>20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334</v>
      </c>
      <c r="C416" s="36">
        <v>5.0</v>
      </c>
      <c r="D416" s="36"/>
      <c r="E416" s="36">
        <v>22.0</v>
      </c>
      <c r="F416" s="21">
        <f t="shared" si="1178"/>
        <v>23</v>
      </c>
      <c r="G416" s="37">
        <f t="shared" si="1179"/>
        <v>0.652173913</v>
      </c>
      <c r="H416" s="38">
        <v>8.0</v>
      </c>
      <c r="I416" s="38">
        <f t="shared" si="1180"/>
        <v>8</v>
      </c>
      <c r="J416" s="39"/>
      <c r="K416" s="137" t="s">
        <v>333</v>
      </c>
      <c r="L416" s="24">
        <v>2025.0</v>
      </c>
      <c r="M416" s="35"/>
      <c r="N416" s="35">
        <v>6.0</v>
      </c>
      <c r="O416" s="35"/>
      <c r="P416" s="39">
        <f t="shared" si="1181"/>
        <v>14</v>
      </c>
      <c r="Q416" s="35"/>
      <c r="R416" s="35"/>
      <c r="S416" s="35"/>
      <c r="T416" s="39">
        <f t="shared" si="1182"/>
        <v>14</v>
      </c>
      <c r="U416" s="35"/>
      <c r="V416" s="35"/>
      <c r="W416" s="35"/>
      <c r="X416" s="39">
        <f t="shared" si="1183"/>
        <v>14</v>
      </c>
      <c r="Y416" s="35"/>
      <c r="Z416" s="35"/>
      <c r="AA416" s="35"/>
      <c r="AB416" s="39">
        <f t="shared" si="1184"/>
        <v>14</v>
      </c>
      <c r="AC416" s="35"/>
      <c r="AD416" s="35"/>
      <c r="AE416" s="35"/>
      <c r="AF416" s="39">
        <f t="shared" si="1185"/>
        <v>14</v>
      </c>
      <c r="AG416" s="35">
        <v>1.0</v>
      </c>
      <c r="AH416" s="35"/>
      <c r="AI416" s="35"/>
      <c r="AJ416" s="39">
        <f t="shared" si="1186"/>
        <v>15</v>
      </c>
      <c r="AK416" s="35"/>
      <c r="AL416" s="35"/>
      <c r="AM416" s="35"/>
      <c r="AN416" s="39">
        <f t="shared" si="1187"/>
        <v>15</v>
      </c>
      <c r="AO416" s="35"/>
      <c r="AP416" s="35"/>
      <c r="AQ416" s="35"/>
      <c r="AR416" s="39">
        <f t="shared" si="1188"/>
        <v>15</v>
      </c>
      <c r="AS416" s="35"/>
      <c r="AT416" s="35"/>
      <c r="AU416" s="35"/>
      <c r="AV416" s="39">
        <f t="shared" si="1189"/>
        <v>15</v>
      </c>
      <c r="AW416" s="35"/>
      <c r="AX416" s="35"/>
      <c r="AY416" s="35"/>
      <c r="AZ416" s="39">
        <f t="shared" si="1190"/>
        <v>15</v>
      </c>
      <c r="BA416" s="35"/>
      <c r="BB416" s="35"/>
      <c r="BC416" s="35"/>
      <c r="BD416" s="39">
        <f t="shared" si="1191"/>
        <v>15</v>
      </c>
      <c r="BE416" s="35"/>
      <c r="BF416" s="35"/>
      <c r="BG416" s="35"/>
      <c r="BH416" s="39">
        <f t="shared" si="1192"/>
        <v>15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335</v>
      </c>
      <c r="C417" s="36">
        <v>6.0</v>
      </c>
      <c r="D417" s="36">
        <v>7824.0</v>
      </c>
      <c r="E417" s="36">
        <v>32.0</v>
      </c>
      <c r="F417" s="21">
        <f t="shared" si="1178"/>
        <v>33</v>
      </c>
      <c r="G417" s="37">
        <f t="shared" si="1179"/>
        <v>1.03030303</v>
      </c>
      <c r="H417" s="38">
        <v>21.0</v>
      </c>
      <c r="I417" s="38">
        <f t="shared" si="1180"/>
        <v>23</v>
      </c>
      <c r="J417" s="73">
        <v>2.0</v>
      </c>
      <c r="K417" s="40">
        <v>2027.0</v>
      </c>
      <c r="L417" s="24">
        <v>2025.0</v>
      </c>
      <c r="M417" s="35">
        <v>1.0</v>
      </c>
      <c r="N417" s="35">
        <v>8.0</v>
      </c>
      <c r="O417" s="35"/>
      <c r="P417" s="39">
        <f t="shared" si="1181"/>
        <v>30</v>
      </c>
      <c r="Q417" s="35"/>
      <c r="R417" s="35"/>
      <c r="S417" s="35"/>
      <c r="T417" s="39">
        <f t="shared" si="1182"/>
        <v>30</v>
      </c>
      <c r="U417" s="35"/>
      <c r="V417" s="35"/>
      <c r="W417" s="35"/>
      <c r="X417" s="39">
        <f t="shared" si="1183"/>
        <v>30</v>
      </c>
      <c r="Y417" s="35"/>
      <c r="Z417" s="35"/>
      <c r="AA417" s="35"/>
      <c r="AB417" s="39">
        <f t="shared" si="1184"/>
        <v>30</v>
      </c>
      <c r="AC417" s="35"/>
      <c r="AD417" s="35"/>
      <c r="AE417" s="35"/>
      <c r="AF417" s="39">
        <f t="shared" si="1185"/>
        <v>30</v>
      </c>
      <c r="AG417" s="35"/>
      <c r="AH417" s="35"/>
      <c r="AI417" s="35"/>
      <c r="AJ417" s="39">
        <f t="shared" si="1186"/>
        <v>30</v>
      </c>
      <c r="AK417" s="35"/>
      <c r="AL417" s="35"/>
      <c r="AM417" s="35"/>
      <c r="AN417" s="39">
        <f t="shared" si="1187"/>
        <v>30</v>
      </c>
      <c r="AO417" s="35"/>
      <c r="AP417" s="35"/>
      <c r="AQ417" s="35"/>
      <c r="AR417" s="39">
        <f t="shared" si="1188"/>
        <v>30</v>
      </c>
      <c r="AS417" s="35"/>
      <c r="AT417" s="35"/>
      <c r="AU417" s="35"/>
      <c r="AV417" s="39">
        <f t="shared" si="1189"/>
        <v>30</v>
      </c>
      <c r="AW417" s="35"/>
      <c r="AX417" s="35"/>
      <c r="AY417" s="35"/>
      <c r="AZ417" s="39">
        <f t="shared" si="1190"/>
        <v>30</v>
      </c>
      <c r="BA417" s="35"/>
      <c r="BB417" s="41">
        <v>4.0</v>
      </c>
      <c r="BC417" s="35"/>
      <c r="BD417" s="39">
        <f t="shared" si="1191"/>
        <v>34</v>
      </c>
      <c r="BE417" s="35"/>
      <c r="BF417" s="35"/>
      <c r="BG417" s="35"/>
      <c r="BH417" s="39">
        <f t="shared" si="1192"/>
        <v>34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336</v>
      </c>
      <c r="C418" s="36">
        <v>7.0</v>
      </c>
      <c r="D418" s="36"/>
      <c r="E418" s="138">
        <v>0.0</v>
      </c>
      <c r="F418" s="21">
        <v>16.0</v>
      </c>
      <c r="G418" s="37">
        <f t="shared" si="1179"/>
        <v>1.4375</v>
      </c>
      <c r="H418" s="38">
        <v>2.0</v>
      </c>
      <c r="I418" s="38">
        <v>2.0</v>
      </c>
      <c r="J418" s="73">
        <v>4.0</v>
      </c>
      <c r="K418" s="137" t="s">
        <v>333</v>
      </c>
      <c r="L418" s="24">
        <v>2025.0</v>
      </c>
      <c r="M418" s="35"/>
      <c r="N418" s="35"/>
      <c r="O418" s="35"/>
      <c r="P418" s="39">
        <f t="shared" si="1181"/>
        <v>2</v>
      </c>
      <c r="Q418" s="35"/>
      <c r="R418" s="35"/>
      <c r="S418" s="35"/>
      <c r="T418" s="39">
        <f t="shared" si="1182"/>
        <v>2</v>
      </c>
      <c r="U418" s="35"/>
      <c r="V418" s="35"/>
      <c r="W418" s="35"/>
      <c r="X418" s="39">
        <f t="shared" si="1183"/>
        <v>2</v>
      </c>
      <c r="Y418" s="35"/>
      <c r="Z418" s="35"/>
      <c r="AA418" s="35"/>
      <c r="AB418" s="39">
        <f t="shared" si="1184"/>
        <v>2</v>
      </c>
      <c r="AC418" s="35">
        <v>13.0</v>
      </c>
      <c r="AD418" s="35"/>
      <c r="AE418" s="35"/>
      <c r="AF418" s="39">
        <f t="shared" si="1185"/>
        <v>15</v>
      </c>
      <c r="AG418" s="35"/>
      <c r="AH418" s="35"/>
      <c r="AI418" s="35"/>
      <c r="AJ418" s="39">
        <f t="shared" si="1186"/>
        <v>15</v>
      </c>
      <c r="AK418" s="35"/>
      <c r="AL418" s="35"/>
      <c r="AM418" s="35"/>
      <c r="AN418" s="39">
        <f t="shared" si="1187"/>
        <v>15</v>
      </c>
      <c r="AO418" s="35"/>
      <c r="AP418" s="35"/>
      <c r="AQ418" s="35"/>
      <c r="AR418" s="39">
        <f t="shared" si="1188"/>
        <v>15</v>
      </c>
      <c r="AS418" s="41">
        <v>1.0</v>
      </c>
      <c r="AT418" s="35"/>
      <c r="AU418" s="35"/>
      <c r="AV418" s="39">
        <f t="shared" si="1189"/>
        <v>16</v>
      </c>
      <c r="AW418" s="35"/>
      <c r="AX418" s="35"/>
      <c r="AY418" s="35"/>
      <c r="AZ418" s="39">
        <f t="shared" si="1190"/>
        <v>16</v>
      </c>
      <c r="BA418" s="35"/>
      <c r="BB418" s="41">
        <v>7.0</v>
      </c>
      <c r="BC418" s="35"/>
      <c r="BD418" s="39">
        <f t="shared" si="1191"/>
        <v>23</v>
      </c>
      <c r="BE418" s="35"/>
      <c r="BF418" s="35"/>
      <c r="BG418" s="35"/>
      <c r="BH418" s="39">
        <f t="shared" si="1192"/>
        <v>23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337</v>
      </c>
      <c r="C419" s="36">
        <v>8.0</v>
      </c>
      <c r="D419" s="36"/>
      <c r="E419" s="138">
        <v>28.0</v>
      </c>
      <c r="F419" s="21">
        <f t="shared" ref="F419:F422" si="1193">E419+1</f>
        <v>29</v>
      </c>
      <c r="G419" s="37">
        <f t="shared" si="1179"/>
        <v>0.6551724138</v>
      </c>
      <c r="H419" s="38">
        <v>15.0</v>
      </c>
      <c r="I419" s="38">
        <f t="shared" ref="I419:I422" si="1194">+H419+J419</f>
        <v>17</v>
      </c>
      <c r="J419" s="39">
        <v>2.0</v>
      </c>
      <c r="K419" s="40">
        <v>2027.0</v>
      </c>
      <c r="L419" s="24">
        <v>2025.0</v>
      </c>
      <c r="M419" s="35">
        <v>4.0</v>
      </c>
      <c r="N419" s="35"/>
      <c r="O419" s="35"/>
      <c r="P419" s="39">
        <f t="shared" si="1181"/>
        <v>19</v>
      </c>
      <c r="Q419" s="35"/>
      <c r="R419" s="35"/>
      <c r="S419" s="35"/>
      <c r="T419" s="39">
        <f t="shared" si="1182"/>
        <v>19</v>
      </c>
      <c r="U419" s="35"/>
      <c r="V419" s="35"/>
      <c r="W419" s="35"/>
      <c r="X419" s="39">
        <f t="shared" si="1183"/>
        <v>19</v>
      </c>
      <c r="Y419" s="35"/>
      <c r="Z419" s="35"/>
      <c r="AA419" s="35"/>
      <c r="AB419" s="39">
        <f t="shared" si="1184"/>
        <v>19</v>
      </c>
      <c r="AC419" s="35"/>
      <c r="AD419" s="35"/>
      <c r="AE419" s="35"/>
      <c r="AF419" s="39">
        <f t="shared" si="1185"/>
        <v>19</v>
      </c>
      <c r="AG419" s="35"/>
      <c r="AH419" s="35"/>
      <c r="AI419" s="35"/>
      <c r="AJ419" s="39">
        <f t="shared" si="1186"/>
        <v>19</v>
      </c>
      <c r="AK419" s="35"/>
      <c r="AL419" s="35"/>
      <c r="AM419" s="35"/>
      <c r="AN419" s="39">
        <f t="shared" si="1187"/>
        <v>19</v>
      </c>
      <c r="AO419" s="35"/>
      <c r="AP419" s="35"/>
      <c r="AQ419" s="35"/>
      <c r="AR419" s="39">
        <f t="shared" si="1188"/>
        <v>19</v>
      </c>
      <c r="AS419" s="35"/>
      <c r="AT419" s="35"/>
      <c r="AU419" s="35"/>
      <c r="AV419" s="39">
        <f t="shared" si="1189"/>
        <v>19</v>
      </c>
      <c r="AW419" s="35"/>
      <c r="AX419" s="35"/>
      <c r="AY419" s="35"/>
      <c r="AZ419" s="39">
        <f t="shared" si="1190"/>
        <v>19</v>
      </c>
      <c r="BA419" s="35"/>
      <c r="BB419" s="35"/>
      <c r="BC419" s="35"/>
      <c r="BD419" s="39">
        <f t="shared" si="1191"/>
        <v>19</v>
      </c>
      <c r="BE419" s="35"/>
      <c r="BF419" s="35"/>
      <c r="BG419" s="35"/>
      <c r="BH419" s="39">
        <f t="shared" si="1192"/>
        <v>19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338</v>
      </c>
      <c r="C420" s="36">
        <v>9.0</v>
      </c>
      <c r="D420" s="36">
        <v>239.0</v>
      </c>
      <c r="E420" s="36">
        <v>36.0</v>
      </c>
      <c r="F420" s="21">
        <f t="shared" si="1193"/>
        <v>37</v>
      </c>
      <c r="G420" s="37">
        <f t="shared" si="1179"/>
        <v>1</v>
      </c>
      <c r="H420" s="38">
        <v>32.0</v>
      </c>
      <c r="I420" s="38">
        <f t="shared" si="1194"/>
        <v>32</v>
      </c>
      <c r="J420" s="39"/>
      <c r="K420" s="40">
        <v>2027.0</v>
      </c>
      <c r="L420" s="24">
        <v>2025.0</v>
      </c>
      <c r="M420" s="35"/>
      <c r="N420" s="35">
        <v>4.0</v>
      </c>
      <c r="O420" s="35"/>
      <c r="P420" s="39">
        <f t="shared" si="1181"/>
        <v>36</v>
      </c>
      <c r="Q420" s="35"/>
      <c r="R420" s="35"/>
      <c r="S420" s="35"/>
      <c r="T420" s="39">
        <f t="shared" si="1182"/>
        <v>36</v>
      </c>
      <c r="U420" s="35"/>
      <c r="V420" s="35"/>
      <c r="W420" s="35"/>
      <c r="X420" s="39">
        <f t="shared" si="1183"/>
        <v>36</v>
      </c>
      <c r="Y420" s="35"/>
      <c r="Z420" s="35"/>
      <c r="AA420" s="35"/>
      <c r="AB420" s="39">
        <f t="shared" si="1184"/>
        <v>36</v>
      </c>
      <c r="AC420" s="35"/>
      <c r="AD420" s="35"/>
      <c r="AE420" s="35"/>
      <c r="AF420" s="39">
        <f t="shared" si="1185"/>
        <v>36</v>
      </c>
      <c r="AG420" s="35"/>
      <c r="AH420" s="35"/>
      <c r="AI420" s="35"/>
      <c r="AJ420" s="39">
        <f t="shared" si="1186"/>
        <v>36</v>
      </c>
      <c r="AK420" s="35"/>
      <c r="AL420" s="35"/>
      <c r="AM420" s="35"/>
      <c r="AN420" s="39">
        <f t="shared" si="1187"/>
        <v>36</v>
      </c>
      <c r="AO420" s="35"/>
      <c r="AP420" s="35"/>
      <c r="AQ420" s="35"/>
      <c r="AR420" s="39">
        <f t="shared" si="1188"/>
        <v>36</v>
      </c>
      <c r="AS420" s="35"/>
      <c r="AT420" s="35"/>
      <c r="AU420" s="35"/>
      <c r="AV420" s="39">
        <f t="shared" si="1189"/>
        <v>36</v>
      </c>
      <c r="AW420" s="35"/>
      <c r="AX420" s="35"/>
      <c r="AY420" s="35"/>
      <c r="AZ420" s="39">
        <f t="shared" si="1190"/>
        <v>36</v>
      </c>
      <c r="BA420" s="41">
        <v>1.0</v>
      </c>
      <c r="BB420" s="35"/>
      <c r="BC420" s="35"/>
      <c r="BD420" s="39">
        <f t="shared" si="1191"/>
        <v>37</v>
      </c>
      <c r="BE420" s="35"/>
      <c r="BF420" s="35"/>
      <c r="BG420" s="35"/>
      <c r="BH420" s="39">
        <f t="shared" si="1192"/>
        <v>37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21"/>
      <c r="B421" s="36" t="s">
        <v>339</v>
      </c>
      <c r="C421" s="36">
        <v>11.0</v>
      </c>
      <c r="D421" s="36">
        <v>1263.0</v>
      </c>
      <c r="E421" s="138">
        <v>32.0</v>
      </c>
      <c r="F421" s="21">
        <f t="shared" si="1193"/>
        <v>33</v>
      </c>
      <c r="G421" s="37">
        <f t="shared" si="1179"/>
        <v>1.151515152</v>
      </c>
      <c r="H421" s="38">
        <v>21.0</v>
      </c>
      <c r="I421" s="38">
        <f t="shared" si="1194"/>
        <v>22</v>
      </c>
      <c r="J421" s="39">
        <v>1.0</v>
      </c>
      <c r="K421" s="40">
        <v>2027.0</v>
      </c>
      <c r="L421" s="24">
        <v>2025.0</v>
      </c>
      <c r="M421" s="35">
        <v>1.0</v>
      </c>
      <c r="N421" s="35">
        <v>4.0</v>
      </c>
      <c r="O421" s="35"/>
      <c r="P421" s="39">
        <f t="shared" si="1181"/>
        <v>26</v>
      </c>
      <c r="Q421" s="35"/>
      <c r="R421" s="35"/>
      <c r="S421" s="35"/>
      <c r="T421" s="39">
        <f t="shared" si="1182"/>
        <v>26</v>
      </c>
      <c r="U421" s="35"/>
      <c r="V421" s="35"/>
      <c r="W421" s="35"/>
      <c r="X421" s="39">
        <f t="shared" si="1183"/>
        <v>26</v>
      </c>
      <c r="Y421" s="35"/>
      <c r="Z421" s="35"/>
      <c r="AA421" s="35"/>
      <c r="AB421" s="39">
        <f t="shared" si="1184"/>
        <v>26</v>
      </c>
      <c r="AC421" s="35"/>
      <c r="AD421" s="35"/>
      <c r="AE421" s="35"/>
      <c r="AF421" s="39">
        <f t="shared" si="1185"/>
        <v>26</v>
      </c>
      <c r="AG421" s="35"/>
      <c r="AH421" s="35"/>
      <c r="AI421" s="35"/>
      <c r="AJ421" s="39">
        <f t="shared" si="1186"/>
        <v>26</v>
      </c>
      <c r="AK421" s="41">
        <v>1.0</v>
      </c>
      <c r="AL421" s="41">
        <v>4.0</v>
      </c>
      <c r="AM421" s="35"/>
      <c r="AN421" s="39">
        <f t="shared" si="1187"/>
        <v>31</v>
      </c>
      <c r="AO421" s="35"/>
      <c r="AP421" s="35"/>
      <c r="AQ421" s="35"/>
      <c r="AR421" s="39">
        <f t="shared" si="1188"/>
        <v>31</v>
      </c>
      <c r="AS421" s="35"/>
      <c r="AT421" s="35"/>
      <c r="AU421" s="35"/>
      <c r="AV421" s="39">
        <f t="shared" si="1189"/>
        <v>31</v>
      </c>
      <c r="AW421" s="35"/>
      <c r="AX421" s="35"/>
      <c r="AY421" s="35"/>
      <c r="AZ421" s="39">
        <f t="shared" si="1190"/>
        <v>31</v>
      </c>
      <c r="BA421" s="35"/>
      <c r="BB421" s="41">
        <v>7.0</v>
      </c>
      <c r="BC421" s="35"/>
      <c r="BD421" s="39">
        <f t="shared" si="1191"/>
        <v>38</v>
      </c>
      <c r="BE421" s="41"/>
      <c r="BF421" s="41"/>
      <c r="BG421" s="41"/>
      <c r="BH421" s="39">
        <f t="shared" si="1192"/>
        <v>38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21"/>
      <c r="B422" s="36" t="s">
        <v>340</v>
      </c>
      <c r="C422" s="36">
        <v>18.0</v>
      </c>
      <c r="D422" s="36">
        <v>1585.0</v>
      </c>
      <c r="E422" s="36">
        <v>30.0</v>
      </c>
      <c r="F422" s="21">
        <f t="shared" si="1193"/>
        <v>31</v>
      </c>
      <c r="G422" s="37">
        <f t="shared" si="1179"/>
        <v>1.032258065</v>
      </c>
      <c r="H422" s="38">
        <v>14.0</v>
      </c>
      <c r="I422" s="38">
        <f t="shared" si="1194"/>
        <v>15</v>
      </c>
      <c r="J422" s="73">
        <v>1.0</v>
      </c>
      <c r="K422" s="40">
        <v>2027.0</v>
      </c>
      <c r="L422" s="24">
        <v>2025.0</v>
      </c>
      <c r="M422" s="35"/>
      <c r="N422" s="35">
        <v>16.0</v>
      </c>
      <c r="O422" s="35"/>
      <c r="P422" s="39">
        <f t="shared" si="1181"/>
        <v>30</v>
      </c>
      <c r="Q422" s="35"/>
      <c r="R422" s="35"/>
      <c r="S422" s="35"/>
      <c r="T422" s="39">
        <f t="shared" si="1182"/>
        <v>30</v>
      </c>
      <c r="U422" s="35"/>
      <c r="V422" s="35"/>
      <c r="W422" s="35"/>
      <c r="X422" s="39">
        <f t="shared" si="1183"/>
        <v>30</v>
      </c>
      <c r="Y422" s="35"/>
      <c r="Z422" s="35"/>
      <c r="AA422" s="35"/>
      <c r="AB422" s="39">
        <f t="shared" si="1184"/>
        <v>30</v>
      </c>
      <c r="AC422" s="35"/>
      <c r="AD422" s="35"/>
      <c r="AE422" s="35"/>
      <c r="AF422" s="39">
        <f t="shared" si="1185"/>
        <v>30</v>
      </c>
      <c r="AG422" s="35"/>
      <c r="AH422" s="35"/>
      <c r="AI422" s="35"/>
      <c r="AJ422" s="39">
        <f t="shared" si="1186"/>
        <v>30</v>
      </c>
      <c r="AK422" s="35"/>
      <c r="AL422" s="35"/>
      <c r="AM422" s="35"/>
      <c r="AN422" s="39">
        <f t="shared" si="1187"/>
        <v>30</v>
      </c>
      <c r="AO422" s="41">
        <v>1.0</v>
      </c>
      <c r="AP422" s="35"/>
      <c r="AQ422" s="35"/>
      <c r="AR422" s="39">
        <f t="shared" si="1188"/>
        <v>31</v>
      </c>
      <c r="AS422" s="35"/>
      <c r="AT422" s="35"/>
      <c r="AU422" s="35"/>
      <c r="AV422" s="39">
        <f t="shared" si="1189"/>
        <v>31</v>
      </c>
      <c r="AW422" s="35"/>
      <c r="AX422" s="35"/>
      <c r="AY422" s="35"/>
      <c r="AZ422" s="39">
        <f t="shared" si="1190"/>
        <v>31</v>
      </c>
      <c r="BA422" s="35"/>
      <c r="BB422" s="35"/>
      <c r="BC422" s="35"/>
      <c r="BD422" s="39">
        <f t="shared" si="1191"/>
        <v>31</v>
      </c>
      <c r="BE422" s="35"/>
      <c r="BF422" s="41">
        <v>1.0</v>
      </c>
      <c r="BG422" s="35"/>
      <c r="BH422" s="39">
        <f t="shared" si="1192"/>
        <v>32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35"/>
      <c r="B423" s="35"/>
      <c r="C423" s="35"/>
      <c r="D423" s="35"/>
      <c r="E423" s="35"/>
      <c r="F423" s="35"/>
      <c r="G423" s="35"/>
      <c r="H423" s="39"/>
      <c r="I423" s="39"/>
      <c r="J423" s="39"/>
      <c r="K423" s="35"/>
      <c r="L423" s="35"/>
      <c r="M423" s="35">
        <f t="shared" ref="M423:O423" si="1195">SUM(M414:M422)</f>
        <v>6</v>
      </c>
      <c r="N423" s="35">
        <f t="shared" si="1195"/>
        <v>43</v>
      </c>
      <c r="O423" s="35">
        <f t="shared" si="1195"/>
        <v>0</v>
      </c>
      <c r="P423" s="39">
        <f t="shared" ref="P423:BH423" si="1196">SUM(P413:P422)</f>
        <v>204</v>
      </c>
      <c r="Q423" s="39">
        <f t="shared" si="1196"/>
        <v>0</v>
      </c>
      <c r="R423" s="39">
        <f t="shared" si="1196"/>
        <v>0</v>
      </c>
      <c r="S423" s="39">
        <f t="shared" si="1196"/>
        <v>0</v>
      </c>
      <c r="T423" s="39">
        <f t="shared" si="1196"/>
        <v>204</v>
      </c>
      <c r="U423" s="39">
        <f t="shared" si="1196"/>
        <v>0</v>
      </c>
      <c r="V423" s="39">
        <f t="shared" si="1196"/>
        <v>0</v>
      </c>
      <c r="W423" s="39">
        <f t="shared" si="1196"/>
        <v>0</v>
      </c>
      <c r="X423" s="39">
        <f t="shared" si="1196"/>
        <v>204</v>
      </c>
      <c r="Y423" s="39">
        <f t="shared" si="1196"/>
        <v>0</v>
      </c>
      <c r="Z423" s="39">
        <f t="shared" si="1196"/>
        <v>35</v>
      </c>
      <c r="AA423" s="39">
        <f t="shared" si="1196"/>
        <v>0</v>
      </c>
      <c r="AB423" s="39">
        <f t="shared" si="1196"/>
        <v>239</v>
      </c>
      <c r="AC423" s="39">
        <f t="shared" si="1196"/>
        <v>13</v>
      </c>
      <c r="AD423" s="39">
        <f t="shared" si="1196"/>
        <v>0</v>
      </c>
      <c r="AE423" s="39">
        <f t="shared" si="1196"/>
        <v>0</v>
      </c>
      <c r="AF423" s="39">
        <f t="shared" si="1196"/>
        <v>252</v>
      </c>
      <c r="AG423" s="39">
        <f t="shared" si="1196"/>
        <v>2</v>
      </c>
      <c r="AH423" s="39">
        <f t="shared" si="1196"/>
        <v>0</v>
      </c>
      <c r="AI423" s="39">
        <f t="shared" si="1196"/>
        <v>0</v>
      </c>
      <c r="AJ423" s="39">
        <f t="shared" si="1196"/>
        <v>254</v>
      </c>
      <c r="AK423" s="39">
        <f t="shared" si="1196"/>
        <v>1</v>
      </c>
      <c r="AL423" s="39">
        <f t="shared" si="1196"/>
        <v>4</v>
      </c>
      <c r="AM423" s="39">
        <f t="shared" si="1196"/>
        <v>0</v>
      </c>
      <c r="AN423" s="39">
        <f t="shared" si="1196"/>
        <v>259</v>
      </c>
      <c r="AO423" s="39">
        <f t="shared" si="1196"/>
        <v>1</v>
      </c>
      <c r="AP423" s="39">
        <f t="shared" si="1196"/>
        <v>0</v>
      </c>
      <c r="AQ423" s="39">
        <f t="shared" si="1196"/>
        <v>0</v>
      </c>
      <c r="AR423" s="39">
        <f t="shared" si="1196"/>
        <v>260</v>
      </c>
      <c r="AS423" s="39">
        <f t="shared" si="1196"/>
        <v>1</v>
      </c>
      <c r="AT423" s="39">
        <f t="shared" si="1196"/>
        <v>0</v>
      </c>
      <c r="AU423" s="39">
        <f t="shared" si="1196"/>
        <v>0</v>
      </c>
      <c r="AV423" s="39">
        <f t="shared" si="1196"/>
        <v>261</v>
      </c>
      <c r="AW423" s="39">
        <f t="shared" si="1196"/>
        <v>0</v>
      </c>
      <c r="AX423" s="39">
        <f t="shared" si="1196"/>
        <v>0</v>
      </c>
      <c r="AY423" s="39">
        <f t="shared" si="1196"/>
        <v>0</v>
      </c>
      <c r="AZ423" s="39">
        <f t="shared" si="1196"/>
        <v>261</v>
      </c>
      <c r="BA423" s="39">
        <f t="shared" si="1196"/>
        <v>2</v>
      </c>
      <c r="BB423" s="39">
        <f t="shared" si="1196"/>
        <v>18</v>
      </c>
      <c r="BC423" s="39">
        <f t="shared" si="1196"/>
        <v>0</v>
      </c>
      <c r="BD423" s="39">
        <f t="shared" si="1196"/>
        <v>281</v>
      </c>
      <c r="BE423" s="39">
        <f t="shared" si="1196"/>
        <v>0</v>
      </c>
      <c r="BF423" s="39">
        <f t="shared" si="1196"/>
        <v>1</v>
      </c>
      <c r="BG423" s="39">
        <f t="shared" si="1196"/>
        <v>0</v>
      </c>
      <c r="BH423" s="39">
        <f t="shared" si="1196"/>
        <v>282</v>
      </c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>
      <c r="A424" s="35"/>
      <c r="B424" s="35" t="s">
        <v>35</v>
      </c>
      <c r="C424" s="35">
        <f>COUNT(C414:C422)</f>
        <v>9</v>
      </c>
      <c r="D424" s="35"/>
      <c r="E424" s="35">
        <f>SUM(E413:E422)</f>
        <v>264</v>
      </c>
      <c r="F424" s="35">
        <f>SUM(E413:E422)+1</f>
        <v>265</v>
      </c>
      <c r="G424" s="63">
        <f>$BH423/F424</f>
        <v>1.064150943</v>
      </c>
      <c r="H424" s="39">
        <f t="shared" ref="H424:J424" si="1197">SUM(H413:H422)</f>
        <v>155</v>
      </c>
      <c r="I424" s="39">
        <f t="shared" si="1197"/>
        <v>161</v>
      </c>
      <c r="J424" s="39">
        <f t="shared" si="1197"/>
        <v>10</v>
      </c>
      <c r="K424" s="35"/>
      <c r="L424" s="35"/>
      <c r="M424" s="35"/>
      <c r="N424" s="35"/>
      <c r="O424" s="35"/>
      <c r="P424" s="63">
        <f>P423/F424</f>
        <v>0.7698113208</v>
      </c>
      <c r="Q424" s="39">
        <f t="shared" ref="Q424:S424" si="1198">M423+Q423</f>
        <v>6</v>
      </c>
      <c r="R424" s="39">
        <f t="shared" si="1198"/>
        <v>43</v>
      </c>
      <c r="S424" s="39">
        <f t="shared" si="1198"/>
        <v>0</v>
      </c>
      <c r="T424" s="63">
        <f>T423/F424</f>
        <v>0.7698113208</v>
      </c>
      <c r="U424" s="39">
        <f t="shared" ref="U424:W424" si="1199">Q424+U423</f>
        <v>6</v>
      </c>
      <c r="V424" s="39">
        <f t="shared" si="1199"/>
        <v>43</v>
      </c>
      <c r="W424" s="39">
        <f t="shared" si="1199"/>
        <v>0</v>
      </c>
      <c r="X424" s="63">
        <f>X423/F424</f>
        <v>0.7698113208</v>
      </c>
      <c r="Y424" s="39">
        <f t="shared" ref="Y424:AA424" si="1200">U424+Y423</f>
        <v>6</v>
      </c>
      <c r="Z424" s="39">
        <f t="shared" si="1200"/>
        <v>78</v>
      </c>
      <c r="AA424" s="39">
        <f t="shared" si="1200"/>
        <v>0</v>
      </c>
      <c r="AB424" s="63">
        <f>AB423/F424</f>
        <v>0.9018867925</v>
      </c>
      <c r="AC424" s="39">
        <f t="shared" ref="AC424:AE424" si="1201">Y424+AC423</f>
        <v>19</v>
      </c>
      <c r="AD424" s="39">
        <f t="shared" si="1201"/>
        <v>78</v>
      </c>
      <c r="AE424" s="39">
        <f t="shared" si="1201"/>
        <v>0</v>
      </c>
      <c r="AF424" s="63">
        <f>AF423/F424</f>
        <v>0.9509433962</v>
      </c>
      <c r="AG424" s="39">
        <f t="shared" ref="AG424:AI424" si="1202">AC424+AG423</f>
        <v>21</v>
      </c>
      <c r="AH424" s="39">
        <f t="shared" si="1202"/>
        <v>78</v>
      </c>
      <c r="AI424" s="39">
        <f t="shared" si="1202"/>
        <v>0</v>
      </c>
      <c r="AJ424" s="63">
        <f>AJ423/F424</f>
        <v>0.958490566</v>
      </c>
      <c r="AK424" s="39">
        <f t="shared" ref="AK424:AM424" si="1203">AG424+AK423</f>
        <v>22</v>
      </c>
      <c r="AL424" s="39">
        <f t="shared" si="1203"/>
        <v>82</v>
      </c>
      <c r="AM424" s="39">
        <f t="shared" si="1203"/>
        <v>0</v>
      </c>
      <c r="AN424" s="63">
        <f>AN423/F424</f>
        <v>0.9773584906</v>
      </c>
      <c r="AO424" s="39">
        <f t="shared" ref="AO424:AQ424" si="1204">AK424+AO423</f>
        <v>23</v>
      </c>
      <c r="AP424" s="39">
        <f t="shared" si="1204"/>
        <v>82</v>
      </c>
      <c r="AQ424" s="39">
        <f t="shared" si="1204"/>
        <v>0</v>
      </c>
      <c r="AR424" s="63">
        <f>AR423/F424</f>
        <v>0.9811320755</v>
      </c>
      <c r="AS424" s="39">
        <f t="shared" ref="AS424:AU424" si="1205">AO424+AS423</f>
        <v>24</v>
      </c>
      <c r="AT424" s="39">
        <f t="shared" si="1205"/>
        <v>82</v>
      </c>
      <c r="AU424" s="39">
        <f t="shared" si="1205"/>
        <v>0</v>
      </c>
      <c r="AV424" s="63">
        <f>AV423/F424</f>
        <v>0.9849056604</v>
      </c>
      <c r="AW424" s="39">
        <f t="shared" ref="AW424:AY424" si="1206">AS424+AW423</f>
        <v>24</v>
      </c>
      <c r="AX424" s="39">
        <f t="shared" si="1206"/>
        <v>82</v>
      </c>
      <c r="AY424" s="39">
        <f t="shared" si="1206"/>
        <v>0</v>
      </c>
      <c r="AZ424" s="63">
        <f>AZ423/F424</f>
        <v>0.9849056604</v>
      </c>
      <c r="BA424" s="39">
        <f t="shared" ref="BA424:BC424" si="1207">AW424+BA423</f>
        <v>26</v>
      </c>
      <c r="BB424" s="39">
        <f t="shared" si="1207"/>
        <v>100</v>
      </c>
      <c r="BC424" s="39">
        <f t="shared" si="1207"/>
        <v>0</v>
      </c>
      <c r="BD424" s="63">
        <f>BD423/F424</f>
        <v>1.060377358</v>
      </c>
      <c r="BE424" s="39">
        <f t="shared" ref="BE424:BG424" si="1208">BA424+BE423</f>
        <v>26</v>
      </c>
      <c r="BF424" s="39">
        <f t="shared" si="1208"/>
        <v>101</v>
      </c>
      <c r="BG424" s="39">
        <f t="shared" si="1208"/>
        <v>0</v>
      </c>
      <c r="BH424" s="63">
        <f>BH423/F424</f>
        <v>1.064150943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>
      <c r="A425" s="16"/>
      <c r="B425" s="16"/>
      <c r="C425" s="16"/>
      <c r="D425" s="16"/>
      <c r="E425" s="16"/>
      <c r="F425" s="16"/>
      <c r="G425" s="16"/>
      <c r="H425" s="31"/>
      <c r="I425" s="31"/>
      <c r="J425" s="31"/>
      <c r="K425" s="2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3" t="s">
        <v>341</v>
      </c>
      <c r="B426" s="21"/>
      <c r="C426" s="21"/>
      <c r="D426" s="21"/>
      <c r="E426" s="49"/>
      <c r="F426" s="21"/>
      <c r="G426" s="22"/>
      <c r="H426" s="25"/>
      <c r="I426" s="25"/>
      <c r="J426" s="25"/>
      <c r="K426" s="21">
        <v>2027.0</v>
      </c>
      <c r="L426" s="21">
        <v>2025.0</v>
      </c>
      <c r="M426" s="21"/>
      <c r="N426" s="21"/>
      <c r="O426" s="21"/>
      <c r="P426" s="25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16" t="s">
        <v>342</v>
      </c>
      <c r="C427" s="36">
        <v>6.0</v>
      </c>
      <c r="D427" s="36">
        <v>1865.0</v>
      </c>
      <c r="E427" s="36">
        <v>30.0</v>
      </c>
      <c r="F427" s="21">
        <f t="shared" ref="F427:F433" si="1209">E427+1</f>
        <v>31</v>
      </c>
      <c r="G427" s="63">
        <f t="shared" ref="G427:G433" si="1210">$BH427/F427</f>
        <v>1.064516129</v>
      </c>
      <c r="H427" s="39">
        <v>22.0</v>
      </c>
      <c r="I427" s="39">
        <f t="shared" ref="I427:I433" si="1211">+H427+J427</f>
        <v>22</v>
      </c>
      <c r="J427" s="73"/>
      <c r="K427" s="21">
        <v>2027.0</v>
      </c>
      <c r="L427" s="21">
        <v>2025.0</v>
      </c>
      <c r="M427" s="35"/>
      <c r="N427" s="35"/>
      <c r="O427" s="35"/>
      <c r="P427" s="39">
        <f t="shared" ref="P427:P433" si="1212">SUM(M427:O427)+H427</f>
        <v>22</v>
      </c>
      <c r="Q427" s="35"/>
      <c r="R427" s="35"/>
      <c r="S427" s="35"/>
      <c r="T427" s="39">
        <f t="shared" ref="T427:T433" si="1213">SUM(P427:S427)</f>
        <v>22</v>
      </c>
      <c r="U427" s="35"/>
      <c r="V427" s="35"/>
      <c r="W427" s="35"/>
      <c r="X427" s="39">
        <f t="shared" ref="X427:X433" si="1214">SUM(T427:W427)</f>
        <v>22</v>
      </c>
      <c r="Y427" s="35">
        <v>3.0</v>
      </c>
      <c r="Z427" s="35"/>
      <c r="AA427" s="35"/>
      <c r="AB427" s="39">
        <f t="shared" ref="AB427:AB433" si="1215">SUM(X427:AA427)</f>
        <v>25</v>
      </c>
      <c r="AC427" s="35"/>
      <c r="AD427" s="35"/>
      <c r="AE427" s="35"/>
      <c r="AF427" s="39">
        <f t="shared" ref="AF427:AF433" si="1216">SUM(AB427:AE427)</f>
        <v>25</v>
      </c>
      <c r="AG427" s="35"/>
      <c r="AH427" s="35"/>
      <c r="AI427" s="35"/>
      <c r="AJ427" s="39">
        <f t="shared" ref="AJ427:AJ433" si="1217">SUM(AF427:AI427)</f>
        <v>25</v>
      </c>
      <c r="AK427" s="35"/>
      <c r="AL427" s="35"/>
      <c r="AM427" s="35"/>
      <c r="AN427" s="39">
        <f t="shared" ref="AN427:AN433" si="1218">SUM(AJ427:AM427)</f>
        <v>25</v>
      </c>
      <c r="AO427" s="35"/>
      <c r="AP427" s="35"/>
      <c r="AQ427" s="35"/>
      <c r="AR427" s="39">
        <f t="shared" ref="AR427:AR433" si="1219">SUM(AN427:AQ427)</f>
        <v>25</v>
      </c>
      <c r="AS427" s="35"/>
      <c r="AT427" s="41">
        <v>7.0</v>
      </c>
      <c r="AU427" s="35"/>
      <c r="AV427" s="39">
        <f t="shared" ref="AV427:AV433" si="1220">SUM(AR427:AU427)</f>
        <v>32</v>
      </c>
      <c r="AW427" s="35"/>
      <c r="AX427" s="41">
        <v>1.0</v>
      </c>
      <c r="AY427" s="35"/>
      <c r="AZ427" s="39">
        <f t="shared" ref="AZ427:AZ433" si="1221">SUM(AV427:AY427)</f>
        <v>33</v>
      </c>
      <c r="BA427" s="35"/>
      <c r="BB427" s="35"/>
      <c r="BC427" s="35"/>
      <c r="BD427" s="39">
        <f t="shared" ref="BD427:BD433" si="1222">SUM(AZ427:BC427)</f>
        <v>33</v>
      </c>
      <c r="BE427" s="35"/>
      <c r="BF427" s="35"/>
      <c r="BG427" s="35"/>
      <c r="BH427" s="39">
        <f t="shared" ref="BH427:BH433" si="1223">SUM(BD427:BG427)</f>
        <v>33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16" t="s">
        <v>343</v>
      </c>
      <c r="C428" s="36">
        <v>9.0</v>
      </c>
      <c r="D428" s="36">
        <v>1621.0</v>
      </c>
      <c r="E428" s="36">
        <v>34.0</v>
      </c>
      <c r="F428" s="21">
        <f t="shared" si="1209"/>
        <v>35</v>
      </c>
      <c r="G428" s="63">
        <f t="shared" si="1210"/>
        <v>1</v>
      </c>
      <c r="H428" s="39">
        <v>19.0</v>
      </c>
      <c r="I428" s="39">
        <f t="shared" si="1211"/>
        <v>19</v>
      </c>
      <c r="J428" s="39"/>
      <c r="K428" s="21">
        <v>2027.0</v>
      </c>
      <c r="L428" s="21">
        <v>2025.0</v>
      </c>
      <c r="M428" s="35"/>
      <c r="N428" s="35">
        <v>15.0</v>
      </c>
      <c r="O428" s="35"/>
      <c r="P428" s="39">
        <f t="shared" si="1212"/>
        <v>34</v>
      </c>
      <c r="Q428" s="35"/>
      <c r="R428" s="35"/>
      <c r="S428" s="35"/>
      <c r="T428" s="39">
        <f t="shared" si="1213"/>
        <v>34</v>
      </c>
      <c r="U428" s="35"/>
      <c r="V428" s="35"/>
      <c r="W428" s="35"/>
      <c r="X428" s="39">
        <f t="shared" si="1214"/>
        <v>34</v>
      </c>
      <c r="Y428" s="35"/>
      <c r="Z428" s="35"/>
      <c r="AA428" s="35"/>
      <c r="AB428" s="39">
        <f t="shared" si="1215"/>
        <v>34</v>
      </c>
      <c r="AC428" s="35"/>
      <c r="AD428" s="35"/>
      <c r="AE428" s="35"/>
      <c r="AF428" s="39">
        <f t="shared" si="1216"/>
        <v>34</v>
      </c>
      <c r="AG428" s="35"/>
      <c r="AH428" s="35"/>
      <c r="AI428" s="35"/>
      <c r="AJ428" s="39">
        <f t="shared" si="1217"/>
        <v>34</v>
      </c>
      <c r="AK428" s="35"/>
      <c r="AL428" s="35"/>
      <c r="AM428" s="35"/>
      <c r="AN428" s="39">
        <f t="shared" si="1218"/>
        <v>34</v>
      </c>
      <c r="AO428" s="35"/>
      <c r="AP428" s="35"/>
      <c r="AQ428" s="35"/>
      <c r="AR428" s="39">
        <f t="shared" si="1219"/>
        <v>34</v>
      </c>
      <c r="AS428" s="35"/>
      <c r="AT428" s="35"/>
      <c r="AU428" s="35"/>
      <c r="AV428" s="39">
        <f t="shared" si="1220"/>
        <v>34</v>
      </c>
      <c r="AW428" s="41">
        <v>1.0</v>
      </c>
      <c r="AX428" s="35"/>
      <c r="AY428" s="35"/>
      <c r="AZ428" s="39">
        <f t="shared" si="1221"/>
        <v>35</v>
      </c>
      <c r="BA428" s="35"/>
      <c r="BB428" s="35"/>
      <c r="BC428" s="35"/>
      <c r="BD428" s="39">
        <f t="shared" si="1222"/>
        <v>35</v>
      </c>
      <c r="BE428" s="35"/>
      <c r="BF428" s="35"/>
      <c r="BG428" s="35"/>
      <c r="BH428" s="39">
        <f t="shared" si="1223"/>
        <v>35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16" t="s">
        <v>344</v>
      </c>
      <c r="C429" s="36">
        <v>14.0</v>
      </c>
      <c r="D429" s="36">
        <v>2312.0</v>
      </c>
      <c r="E429" s="36">
        <v>18.0</v>
      </c>
      <c r="F429" s="21">
        <f t="shared" si="1209"/>
        <v>19</v>
      </c>
      <c r="G429" s="63">
        <f t="shared" si="1210"/>
        <v>0.8947368421</v>
      </c>
      <c r="H429" s="39">
        <v>17.0</v>
      </c>
      <c r="I429" s="39">
        <f t="shared" si="1211"/>
        <v>17</v>
      </c>
      <c r="J429" s="39"/>
      <c r="K429" s="21">
        <v>2027.0</v>
      </c>
      <c r="L429" s="21">
        <v>2025.0</v>
      </c>
      <c r="M429" s="35"/>
      <c r="N429" s="35"/>
      <c r="O429" s="35"/>
      <c r="P429" s="39">
        <f t="shared" si="1212"/>
        <v>17</v>
      </c>
      <c r="Q429" s="35"/>
      <c r="R429" s="35"/>
      <c r="S429" s="35"/>
      <c r="T429" s="39">
        <f t="shared" si="1213"/>
        <v>17</v>
      </c>
      <c r="U429" s="35"/>
      <c r="V429" s="35"/>
      <c r="W429" s="35"/>
      <c r="X429" s="39">
        <f t="shared" si="1214"/>
        <v>17</v>
      </c>
      <c r="Y429" s="35"/>
      <c r="Z429" s="35"/>
      <c r="AA429" s="35"/>
      <c r="AB429" s="39">
        <f t="shared" si="1215"/>
        <v>17</v>
      </c>
      <c r="AC429" s="35"/>
      <c r="AD429" s="35"/>
      <c r="AE429" s="35"/>
      <c r="AF429" s="39">
        <f t="shared" si="1216"/>
        <v>17</v>
      </c>
      <c r="AG429" s="35"/>
      <c r="AH429" s="35"/>
      <c r="AI429" s="35"/>
      <c r="AJ429" s="39">
        <f t="shared" si="1217"/>
        <v>17</v>
      </c>
      <c r="AK429" s="35"/>
      <c r="AL429" s="35"/>
      <c r="AM429" s="35"/>
      <c r="AN429" s="39">
        <f t="shared" si="1218"/>
        <v>17</v>
      </c>
      <c r="AO429" s="35"/>
      <c r="AP429" s="35"/>
      <c r="AQ429" s="35"/>
      <c r="AR429" s="39">
        <f t="shared" si="1219"/>
        <v>17</v>
      </c>
      <c r="AS429" s="35"/>
      <c r="AT429" s="35"/>
      <c r="AU429" s="35"/>
      <c r="AV429" s="39">
        <f t="shared" si="1220"/>
        <v>17</v>
      </c>
      <c r="AW429" s="35"/>
      <c r="AX429" s="35"/>
      <c r="AY429" s="35"/>
      <c r="AZ429" s="39">
        <f t="shared" si="1221"/>
        <v>17</v>
      </c>
      <c r="BA429" s="35"/>
      <c r="BB429" s="35"/>
      <c r="BC429" s="35"/>
      <c r="BD429" s="39">
        <f t="shared" si="1222"/>
        <v>17</v>
      </c>
      <c r="BE429" s="35"/>
      <c r="BF429" s="35"/>
      <c r="BG429" s="35"/>
      <c r="BH429" s="39">
        <f t="shared" si="1223"/>
        <v>17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16" t="s">
        <v>345</v>
      </c>
      <c r="C430" s="36">
        <v>21.0</v>
      </c>
      <c r="D430" s="36">
        <v>2112.0</v>
      </c>
      <c r="E430" s="36">
        <v>27.0</v>
      </c>
      <c r="F430" s="21">
        <f t="shared" si="1209"/>
        <v>28</v>
      </c>
      <c r="G430" s="63">
        <f t="shared" si="1210"/>
        <v>0.7142857143</v>
      </c>
      <c r="H430" s="39">
        <v>15.0</v>
      </c>
      <c r="I430" s="39">
        <f t="shared" si="1211"/>
        <v>15</v>
      </c>
      <c r="J430" s="39"/>
      <c r="K430" s="21">
        <v>2027.0</v>
      </c>
      <c r="L430" s="21">
        <v>2025.0</v>
      </c>
      <c r="M430" s="35"/>
      <c r="N430" s="35"/>
      <c r="O430" s="35"/>
      <c r="P430" s="39">
        <f t="shared" si="1212"/>
        <v>15</v>
      </c>
      <c r="Q430" s="35"/>
      <c r="R430" s="35"/>
      <c r="S430" s="35"/>
      <c r="T430" s="39">
        <f t="shared" si="1213"/>
        <v>15</v>
      </c>
      <c r="U430" s="35"/>
      <c r="V430" s="35"/>
      <c r="W430" s="35"/>
      <c r="X430" s="39">
        <f t="shared" si="1214"/>
        <v>15</v>
      </c>
      <c r="Y430" s="35"/>
      <c r="Z430" s="35"/>
      <c r="AA430" s="35"/>
      <c r="AB430" s="39">
        <f t="shared" si="1215"/>
        <v>15</v>
      </c>
      <c r="AC430" s="35"/>
      <c r="AD430" s="35">
        <v>5.0</v>
      </c>
      <c r="AE430" s="35"/>
      <c r="AF430" s="39">
        <f t="shared" si="1216"/>
        <v>20</v>
      </c>
      <c r="AG430" s="35"/>
      <c r="AH430" s="35"/>
      <c r="AI430" s="35"/>
      <c r="AJ430" s="39">
        <f t="shared" si="1217"/>
        <v>20</v>
      </c>
      <c r="AK430" s="35"/>
      <c r="AL430" s="35"/>
      <c r="AM430" s="35"/>
      <c r="AN430" s="39">
        <f t="shared" si="1218"/>
        <v>20</v>
      </c>
      <c r="AO430" s="35"/>
      <c r="AP430" s="35"/>
      <c r="AQ430" s="35"/>
      <c r="AR430" s="39">
        <f t="shared" si="1219"/>
        <v>20</v>
      </c>
      <c r="AS430" s="35"/>
      <c r="AT430" s="35"/>
      <c r="AU430" s="35"/>
      <c r="AV430" s="39">
        <f t="shared" si="1220"/>
        <v>20</v>
      </c>
      <c r="AW430" s="35"/>
      <c r="AX430" s="35"/>
      <c r="AY430" s="35"/>
      <c r="AZ430" s="39">
        <f t="shared" si="1221"/>
        <v>20</v>
      </c>
      <c r="BA430" s="35"/>
      <c r="BB430" s="35"/>
      <c r="BC430" s="35"/>
      <c r="BD430" s="39">
        <f t="shared" si="1222"/>
        <v>20</v>
      </c>
      <c r="BE430" s="35"/>
      <c r="BF430" s="35"/>
      <c r="BG430" s="35"/>
      <c r="BH430" s="39">
        <f t="shared" si="1223"/>
        <v>20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16" t="s">
        <v>346</v>
      </c>
      <c r="C431" s="36">
        <v>23.0</v>
      </c>
      <c r="D431" s="36">
        <v>2037.0</v>
      </c>
      <c r="E431" s="36">
        <v>52.0</v>
      </c>
      <c r="F431" s="21">
        <f t="shared" si="1209"/>
        <v>53</v>
      </c>
      <c r="G431" s="63">
        <f t="shared" si="1210"/>
        <v>1.075471698</v>
      </c>
      <c r="H431" s="39">
        <v>24.0</v>
      </c>
      <c r="I431" s="39">
        <f t="shared" si="1211"/>
        <v>25</v>
      </c>
      <c r="J431" s="73">
        <v>1.0</v>
      </c>
      <c r="K431" s="21">
        <v>2027.0</v>
      </c>
      <c r="L431" s="21">
        <v>2025.0</v>
      </c>
      <c r="M431" s="35"/>
      <c r="N431" s="35">
        <v>30.0</v>
      </c>
      <c r="O431" s="35">
        <v>1.0</v>
      </c>
      <c r="P431" s="39">
        <f t="shared" si="1212"/>
        <v>55</v>
      </c>
      <c r="Q431" s="35"/>
      <c r="R431" s="35"/>
      <c r="S431" s="35"/>
      <c r="T431" s="39">
        <f t="shared" si="1213"/>
        <v>55</v>
      </c>
      <c r="U431" s="35"/>
      <c r="V431" s="35"/>
      <c r="W431" s="35"/>
      <c r="X431" s="39">
        <f t="shared" si="1214"/>
        <v>55</v>
      </c>
      <c r="Y431" s="35">
        <v>2.0</v>
      </c>
      <c r="Z431" s="35"/>
      <c r="AA431" s="35"/>
      <c r="AB431" s="39">
        <f t="shared" si="1215"/>
        <v>57</v>
      </c>
      <c r="AC431" s="35"/>
      <c r="AD431" s="35"/>
      <c r="AE431" s="35"/>
      <c r="AF431" s="39">
        <f t="shared" si="1216"/>
        <v>57</v>
      </c>
      <c r="AG431" s="35"/>
      <c r="AH431" s="35"/>
      <c r="AI431" s="35"/>
      <c r="AJ431" s="39">
        <f t="shared" si="1217"/>
        <v>57</v>
      </c>
      <c r="AK431" s="35"/>
      <c r="AL431" s="35"/>
      <c r="AM431" s="35"/>
      <c r="AN431" s="39">
        <f t="shared" si="1218"/>
        <v>57</v>
      </c>
      <c r="AO431" s="35"/>
      <c r="AP431" s="35"/>
      <c r="AQ431" s="35"/>
      <c r="AR431" s="39">
        <f t="shared" si="1219"/>
        <v>57</v>
      </c>
      <c r="AS431" s="35"/>
      <c r="AT431" s="35"/>
      <c r="AU431" s="35"/>
      <c r="AV431" s="39">
        <f t="shared" si="1220"/>
        <v>57</v>
      </c>
      <c r="AW431" s="35"/>
      <c r="AX431" s="35"/>
      <c r="AY431" s="35"/>
      <c r="AZ431" s="39">
        <f t="shared" si="1221"/>
        <v>57</v>
      </c>
      <c r="BA431" s="35"/>
      <c r="BB431" s="35"/>
      <c r="BC431" s="35"/>
      <c r="BD431" s="39">
        <f t="shared" si="1222"/>
        <v>57</v>
      </c>
      <c r="BE431" s="35"/>
      <c r="BF431" s="35"/>
      <c r="BG431" s="35"/>
      <c r="BH431" s="39">
        <f t="shared" si="1223"/>
        <v>57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6" t="s">
        <v>347</v>
      </c>
      <c r="C432" s="36">
        <v>38.0</v>
      </c>
      <c r="D432" s="36">
        <v>1464.0</v>
      </c>
      <c r="E432" s="36">
        <v>19.0</v>
      </c>
      <c r="F432" s="21">
        <f t="shared" si="1209"/>
        <v>20</v>
      </c>
      <c r="G432" s="63">
        <f t="shared" si="1210"/>
        <v>0.9</v>
      </c>
      <c r="H432" s="39">
        <v>2.0</v>
      </c>
      <c r="I432" s="39">
        <f t="shared" si="1211"/>
        <v>2</v>
      </c>
      <c r="J432" s="39"/>
      <c r="K432" s="21">
        <v>2027.0</v>
      </c>
      <c r="L432" s="21">
        <v>2025.0</v>
      </c>
      <c r="M432" s="35"/>
      <c r="N432" s="35">
        <v>16.0</v>
      </c>
      <c r="O432" s="35"/>
      <c r="P432" s="39">
        <f t="shared" si="1212"/>
        <v>18</v>
      </c>
      <c r="Q432" s="35"/>
      <c r="R432" s="35"/>
      <c r="S432" s="35"/>
      <c r="T432" s="39">
        <f t="shared" si="1213"/>
        <v>18</v>
      </c>
      <c r="U432" s="35"/>
      <c r="V432" s="35"/>
      <c r="W432" s="35"/>
      <c r="X432" s="39">
        <f t="shared" si="1214"/>
        <v>18</v>
      </c>
      <c r="Y432" s="35"/>
      <c r="Z432" s="35"/>
      <c r="AA432" s="35"/>
      <c r="AB432" s="39">
        <f t="shared" si="1215"/>
        <v>18</v>
      </c>
      <c r="AC432" s="35"/>
      <c r="AD432" s="35"/>
      <c r="AE432" s="35"/>
      <c r="AF432" s="39">
        <f t="shared" si="1216"/>
        <v>18</v>
      </c>
      <c r="AG432" s="35"/>
      <c r="AH432" s="35"/>
      <c r="AI432" s="35"/>
      <c r="AJ432" s="39">
        <f t="shared" si="1217"/>
        <v>18</v>
      </c>
      <c r="AK432" s="35"/>
      <c r="AL432" s="35"/>
      <c r="AM432" s="35"/>
      <c r="AN432" s="39">
        <f t="shared" si="1218"/>
        <v>18</v>
      </c>
      <c r="AO432" s="35"/>
      <c r="AP432" s="35"/>
      <c r="AQ432" s="35"/>
      <c r="AR432" s="39">
        <f t="shared" si="1219"/>
        <v>18</v>
      </c>
      <c r="AS432" s="35"/>
      <c r="AT432" s="35"/>
      <c r="AU432" s="35"/>
      <c r="AV432" s="39">
        <f t="shared" si="1220"/>
        <v>18</v>
      </c>
      <c r="AW432" s="35"/>
      <c r="AX432" s="35"/>
      <c r="AY432" s="35"/>
      <c r="AZ432" s="39">
        <f t="shared" si="1221"/>
        <v>18</v>
      </c>
      <c r="BA432" s="35"/>
      <c r="BB432" s="35"/>
      <c r="BC432" s="35"/>
      <c r="BD432" s="39">
        <f t="shared" si="1222"/>
        <v>18</v>
      </c>
      <c r="BE432" s="35"/>
      <c r="BF432" s="35"/>
      <c r="BG432" s="35"/>
      <c r="BH432" s="39">
        <f t="shared" si="1223"/>
        <v>18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116" t="s">
        <v>348</v>
      </c>
      <c r="C433" s="36">
        <v>41.0</v>
      </c>
      <c r="D433" s="36">
        <v>7591.0</v>
      </c>
      <c r="E433" s="36">
        <v>68.0</v>
      </c>
      <c r="F433" s="21">
        <f t="shared" si="1209"/>
        <v>69</v>
      </c>
      <c r="G433" s="63">
        <f t="shared" si="1210"/>
        <v>0.9275362319</v>
      </c>
      <c r="H433" s="39">
        <v>25.0</v>
      </c>
      <c r="I433" s="39">
        <f t="shared" si="1211"/>
        <v>25</v>
      </c>
      <c r="J433" s="39"/>
      <c r="K433" s="35">
        <v>2025.0</v>
      </c>
      <c r="L433" s="21">
        <v>2025.0</v>
      </c>
      <c r="M433" s="35"/>
      <c r="N433" s="35"/>
      <c r="O433" s="35"/>
      <c r="P433" s="39">
        <f t="shared" si="1212"/>
        <v>25</v>
      </c>
      <c r="Q433" s="35"/>
      <c r="R433" s="35"/>
      <c r="S433" s="35"/>
      <c r="T433" s="39">
        <f t="shared" si="1213"/>
        <v>25</v>
      </c>
      <c r="U433" s="35"/>
      <c r="V433" s="35"/>
      <c r="W433" s="35"/>
      <c r="X433" s="39">
        <f t="shared" si="1214"/>
        <v>25</v>
      </c>
      <c r="Y433" s="35"/>
      <c r="Z433" s="35"/>
      <c r="AA433" s="35"/>
      <c r="AB433" s="39">
        <f t="shared" si="1215"/>
        <v>25</v>
      </c>
      <c r="AC433" s="35"/>
      <c r="AD433" s="35"/>
      <c r="AE433" s="35"/>
      <c r="AF433" s="39">
        <f t="shared" si="1216"/>
        <v>25</v>
      </c>
      <c r="AG433" s="35">
        <v>1.0</v>
      </c>
      <c r="AH433" s="35"/>
      <c r="AI433" s="35"/>
      <c r="AJ433" s="39">
        <f t="shared" si="1217"/>
        <v>26</v>
      </c>
      <c r="AK433" s="35"/>
      <c r="AL433" s="35"/>
      <c r="AM433" s="35"/>
      <c r="AN433" s="39">
        <f t="shared" si="1218"/>
        <v>26</v>
      </c>
      <c r="AO433" s="35"/>
      <c r="AP433" s="35"/>
      <c r="AQ433" s="35"/>
      <c r="AR433" s="39">
        <f t="shared" si="1219"/>
        <v>26</v>
      </c>
      <c r="AS433" s="35"/>
      <c r="AT433" s="35"/>
      <c r="AU433" s="35"/>
      <c r="AV433" s="39">
        <f t="shared" si="1220"/>
        <v>26</v>
      </c>
      <c r="AW433" s="35"/>
      <c r="AX433" s="41">
        <v>17.0</v>
      </c>
      <c r="AY433" s="35"/>
      <c r="AZ433" s="39">
        <f t="shared" si="1221"/>
        <v>43</v>
      </c>
      <c r="BA433" s="35"/>
      <c r="BB433" s="35"/>
      <c r="BC433" s="35"/>
      <c r="BD433" s="39">
        <f t="shared" si="1222"/>
        <v>43</v>
      </c>
      <c r="BE433" s="35"/>
      <c r="BF433" s="41">
        <v>21.0</v>
      </c>
      <c r="BG433" s="35"/>
      <c r="BH433" s="39">
        <f t="shared" si="1223"/>
        <v>64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/>
      <c r="C434" s="36"/>
      <c r="D434" s="36"/>
      <c r="E434" s="36"/>
      <c r="F434" s="35"/>
      <c r="G434" s="63"/>
      <c r="H434" s="39"/>
      <c r="I434" s="39"/>
      <c r="J434" s="39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 ht="15.75" customHeight="1">
      <c r="A435" s="35"/>
      <c r="B435" s="50"/>
      <c r="C435" s="35"/>
      <c r="D435" s="35"/>
      <c r="E435" s="35"/>
      <c r="F435" s="35"/>
      <c r="G435" s="35"/>
      <c r="H435" s="39"/>
      <c r="I435" s="39"/>
      <c r="J435" s="39"/>
      <c r="K435" s="50"/>
      <c r="L435" s="35"/>
      <c r="M435" s="35">
        <f t="shared" ref="M435:O435" si="1224">SUM(M427:M433)</f>
        <v>0</v>
      </c>
      <c r="N435" s="35">
        <f t="shared" si="1224"/>
        <v>61</v>
      </c>
      <c r="O435" s="35">
        <f t="shared" si="1224"/>
        <v>1</v>
      </c>
      <c r="P435" s="39">
        <f t="shared" ref="P435:BH435" si="1225">SUM(P426:P433)</f>
        <v>186</v>
      </c>
      <c r="Q435" s="39">
        <f t="shared" si="1225"/>
        <v>0</v>
      </c>
      <c r="R435" s="39">
        <f t="shared" si="1225"/>
        <v>0</v>
      </c>
      <c r="S435" s="39">
        <f t="shared" si="1225"/>
        <v>0</v>
      </c>
      <c r="T435" s="39">
        <f t="shared" si="1225"/>
        <v>186</v>
      </c>
      <c r="U435" s="39">
        <f t="shared" si="1225"/>
        <v>0</v>
      </c>
      <c r="V435" s="39">
        <f t="shared" si="1225"/>
        <v>0</v>
      </c>
      <c r="W435" s="39">
        <f t="shared" si="1225"/>
        <v>0</v>
      </c>
      <c r="X435" s="39">
        <f t="shared" si="1225"/>
        <v>186</v>
      </c>
      <c r="Y435" s="39">
        <f t="shared" si="1225"/>
        <v>5</v>
      </c>
      <c r="Z435" s="39">
        <f t="shared" si="1225"/>
        <v>0</v>
      </c>
      <c r="AA435" s="39">
        <f t="shared" si="1225"/>
        <v>0</v>
      </c>
      <c r="AB435" s="39">
        <f t="shared" si="1225"/>
        <v>191</v>
      </c>
      <c r="AC435" s="39">
        <f t="shared" si="1225"/>
        <v>0</v>
      </c>
      <c r="AD435" s="39">
        <f t="shared" si="1225"/>
        <v>5</v>
      </c>
      <c r="AE435" s="39">
        <f t="shared" si="1225"/>
        <v>0</v>
      </c>
      <c r="AF435" s="39">
        <f t="shared" si="1225"/>
        <v>196</v>
      </c>
      <c r="AG435" s="39">
        <f t="shared" si="1225"/>
        <v>1</v>
      </c>
      <c r="AH435" s="39">
        <f t="shared" si="1225"/>
        <v>0</v>
      </c>
      <c r="AI435" s="39">
        <f t="shared" si="1225"/>
        <v>0</v>
      </c>
      <c r="AJ435" s="39">
        <f t="shared" si="1225"/>
        <v>197</v>
      </c>
      <c r="AK435" s="39">
        <f t="shared" si="1225"/>
        <v>0</v>
      </c>
      <c r="AL435" s="39">
        <f t="shared" si="1225"/>
        <v>0</v>
      </c>
      <c r="AM435" s="39">
        <f t="shared" si="1225"/>
        <v>0</v>
      </c>
      <c r="AN435" s="39">
        <f t="shared" si="1225"/>
        <v>197</v>
      </c>
      <c r="AO435" s="39">
        <f t="shared" si="1225"/>
        <v>0</v>
      </c>
      <c r="AP435" s="39">
        <f t="shared" si="1225"/>
        <v>0</v>
      </c>
      <c r="AQ435" s="39">
        <f t="shared" si="1225"/>
        <v>0</v>
      </c>
      <c r="AR435" s="39">
        <f t="shared" si="1225"/>
        <v>197</v>
      </c>
      <c r="AS435" s="39">
        <f t="shared" si="1225"/>
        <v>0</v>
      </c>
      <c r="AT435" s="39">
        <f t="shared" si="1225"/>
        <v>7</v>
      </c>
      <c r="AU435" s="39">
        <f t="shared" si="1225"/>
        <v>0</v>
      </c>
      <c r="AV435" s="39">
        <f t="shared" si="1225"/>
        <v>204</v>
      </c>
      <c r="AW435" s="39">
        <f t="shared" si="1225"/>
        <v>1</v>
      </c>
      <c r="AX435" s="39">
        <f t="shared" si="1225"/>
        <v>18</v>
      </c>
      <c r="AY435" s="39">
        <f t="shared" si="1225"/>
        <v>0</v>
      </c>
      <c r="AZ435" s="39">
        <f t="shared" si="1225"/>
        <v>223</v>
      </c>
      <c r="BA435" s="39">
        <f t="shared" si="1225"/>
        <v>0</v>
      </c>
      <c r="BB435" s="39">
        <f t="shared" si="1225"/>
        <v>0</v>
      </c>
      <c r="BC435" s="39">
        <f t="shared" si="1225"/>
        <v>0</v>
      </c>
      <c r="BD435" s="39">
        <f t="shared" si="1225"/>
        <v>223</v>
      </c>
      <c r="BE435" s="39">
        <f t="shared" si="1225"/>
        <v>0</v>
      </c>
      <c r="BF435" s="39">
        <f t="shared" si="1225"/>
        <v>21</v>
      </c>
      <c r="BG435" s="39">
        <f t="shared" si="1225"/>
        <v>0</v>
      </c>
      <c r="BH435" s="39">
        <f t="shared" si="1225"/>
        <v>244</v>
      </c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 ht="15.75" customHeight="1">
      <c r="A436" s="35"/>
      <c r="B436" s="35" t="s">
        <v>35</v>
      </c>
      <c r="C436" s="35">
        <f>COUNT(C427:C433)</f>
        <v>7</v>
      </c>
      <c r="D436" s="35"/>
      <c r="E436" s="35">
        <f>SUM(E426:E433)</f>
        <v>248</v>
      </c>
      <c r="F436" s="35">
        <f>SUM(E426:E433)+1</f>
        <v>249</v>
      </c>
      <c r="G436" s="63">
        <f>$BH435/F436</f>
        <v>0.9799196787</v>
      </c>
      <c r="H436" s="39">
        <f t="shared" ref="H436:J436" si="1226">SUM(H426:H433)</f>
        <v>124</v>
      </c>
      <c r="I436" s="39">
        <f t="shared" si="1226"/>
        <v>125</v>
      </c>
      <c r="J436" s="39">
        <f t="shared" si="1226"/>
        <v>1</v>
      </c>
      <c r="K436" s="35"/>
      <c r="L436" s="35"/>
      <c r="M436" s="35">
        <f t="shared" ref="M436:O436" si="1227">M435</f>
        <v>0</v>
      </c>
      <c r="N436" s="35">
        <f t="shared" si="1227"/>
        <v>61</v>
      </c>
      <c r="O436" s="35">
        <f t="shared" si="1227"/>
        <v>1</v>
      </c>
      <c r="P436" s="63">
        <f>P435/F436</f>
        <v>0.7469879518</v>
      </c>
      <c r="Q436" s="39">
        <f t="shared" ref="Q436:S436" si="1228">M435+Q435</f>
        <v>0</v>
      </c>
      <c r="R436" s="39">
        <f t="shared" si="1228"/>
        <v>61</v>
      </c>
      <c r="S436" s="39">
        <f t="shared" si="1228"/>
        <v>1</v>
      </c>
      <c r="T436" s="63">
        <f>T435/F436</f>
        <v>0.7469879518</v>
      </c>
      <c r="U436" s="39">
        <f t="shared" ref="U436:W436" si="1229">Q436+U435</f>
        <v>0</v>
      </c>
      <c r="V436" s="39">
        <f t="shared" si="1229"/>
        <v>61</v>
      </c>
      <c r="W436" s="39">
        <f t="shared" si="1229"/>
        <v>1</v>
      </c>
      <c r="X436" s="63">
        <f>X435/F436</f>
        <v>0.7469879518</v>
      </c>
      <c r="Y436" s="39">
        <f t="shared" ref="Y436:AA436" si="1230">U436+Y435</f>
        <v>5</v>
      </c>
      <c r="Z436" s="39">
        <f t="shared" si="1230"/>
        <v>61</v>
      </c>
      <c r="AA436" s="39">
        <f t="shared" si="1230"/>
        <v>1</v>
      </c>
      <c r="AB436" s="63">
        <f>AB435/F436</f>
        <v>0.7670682731</v>
      </c>
      <c r="AC436" s="39">
        <f t="shared" ref="AC436:AE436" si="1231">Y436+AC435</f>
        <v>5</v>
      </c>
      <c r="AD436" s="39">
        <f t="shared" si="1231"/>
        <v>66</v>
      </c>
      <c r="AE436" s="39">
        <f t="shared" si="1231"/>
        <v>1</v>
      </c>
      <c r="AF436" s="63">
        <f>AF435/F436</f>
        <v>0.7871485944</v>
      </c>
      <c r="AG436" s="39">
        <f t="shared" ref="AG436:AI436" si="1232">AC436+AG435</f>
        <v>6</v>
      </c>
      <c r="AH436" s="39">
        <f t="shared" si="1232"/>
        <v>66</v>
      </c>
      <c r="AI436" s="39">
        <f t="shared" si="1232"/>
        <v>1</v>
      </c>
      <c r="AJ436" s="63">
        <f>AJ435/F436</f>
        <v>0.7911646586</v>
      </c>
      <c r="AK436" s="39">
        <f t="shared" ref="AK436:AM436" si="1233">AG436+AK435</f>
        <v>6</v>
      </c>
      <c r="AL436" s="39">
        <f t="shared" si="1233"/>
        <v>66</v>
      </c>
      <c r="AM436" s="39">
        <f t="shared" si="1233"/>
        <v>1</v>
      </c>
      <c r="AN436" s="63">
        <f>AN435/F436</f>
        <v>0.7911646586</v>
      </c>
      <c r="AO436" s="39">
        <f t="shared" ref="AO436:AQ436" si="1234">AK436+AO435</f>
        <v>6</v>
      </c>
      <c r="AP436" s="39">
        <f t="shared" si="1234"/>
        <v>66</v>
      </c>
      <c r="AQ436" s="39">
        <f t="shared" si="1234"/>
        <v>1</v>
      </c>
      <c r="AR436" s="63">
        <f>AR435/F436</f>
        <v>0.7911646586</v>
      </c>
      <c r="AS436" s="39">
        <f t="shared" ref="AS436:AU436" si="1235">AO436+AS435</f>
        <v>6</v>
      </c>
      <c r="AT436" s="39">
        <f t="shared" si="1235"/>
        <v>73</v>
      </c>
      <c r="AU436" s="39">
        <f t="shared" si="1235"/>
        <v>1</v>
      </c>
      <c r="AV436" s="63">
        <f>AV435/F436</f>
        <v>0.8192771084</v>
      </c>
      <c r="AW436" s="39">
        <f t="shared" ref="AW436:AY436" si="1236">AS436+AW435</f>
        <v>7</v>
      </c>
      <c r="AX436" s="39">
        <f t="shared" si="1236"/>
        <v>91</v>
      </c>
      <c r="AY436" s="39">
        <f t="shared" si="1236"/>
        <v>1</v>
      </c>
      <c r="AZ436" s="63">
        <f>AZ435/F436</f>
        <v>0.8955823293</v>
      </c>
      <c r="BA436" s="39">
        <f t="shared" ref="BA436:BC436" si="1237">AW436+BA435</f>
        <v>7</v>
      </c>
      <c r="BB436" s="39">
        <f t="shared" si="1237"/>
        <v>91</v>
      </c>
      <c r="BC436" s="39">
        <f t="shared" si="1237"/>
        <v>1</v>
      </c>
      <c r="BD436" s="63">
        <f>BD435/F436</f>
        <v>0.8955823293</v>
      </c>
      <c r="BE436" s="39">
        <f t="shared" ref="BE436:BG436" si="1238">BA436+BE435</f>
        <v>7</v>
      </c>
      <c r="BF436" s="39">
        <f t="shared" si="1238"/>
        <v>112</v>
      </c>
      <c r="BG436" s="39">
        <f t="shared" si="1238"/>
        <v>1</v>
      </c>
      <c r="BH436" s="63">
        <f>BH435/F436</f>
        <v>0.9799196787</v>
      </c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  <row r="1007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</row>
    <row r="1008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7" t="s">
        <v>349</v>
      </c>
      <c r="B1" s="67" t="s">
        <v>350</v>
      </c>
      <c r="C1" s="67" t="s">
        <v>351</v>
      </c>
    </row>
    <row r="2">
      <c r="A2" s="139" t="str">
        <f>IFERROR(__xludf.DUMMYFUNCTION("FILTER(MASTER!A2:A999, MASTER!B2:B999&lt;&gt;"""", MASTER!B2:B999&lt;&gt;""*"")"),"GRAND (State)")</f>
        <v>GRAND (State)</v>
      </c>
      <c r="B2" s="139" t="str">
        <f>IFERROR(__xludf.DUMMYFUNCTION("FILTER(MASTER!B2:B999, MASTER!B2:B999&lt;&gt;"""", MASTER!B2:B999&lt;&gt;""*"")"),"Pup Tent (PT) Name")</f>
        <v>Pup Tent (PT) Name</v>
      </c>
      <c r="C2" s="139" t="str">
        <f>IFERROR(__xludf.DUMMYFUNCTION("FILTER(MASTER!C2:C999, MASTER!B2:B999&lt;&gt;"""", MASTER!B2:B999&lt;&gt;""*"")"),"PT #")</f>
        <v>PT #</v>
      </c>
    </row>
    <row r="3">
      <c r="A3" s="139"/>
      <c r="B3" s="139" t="str">
        <f>IFERROR(__xludf.DUMMYFUNCTION("""COMPUTED_VALUE"""),"Bless Ur Heart")</f>
        <v>Bless Ur Heart</v>
      </c>
      <c r="C3" s="139">
        <f>IFERROR(__xludf.DUMMYFUNCTION("""COMPUTED_VALUE"""),1.0)</f>
        <v>1</v>
      </c>
    </row>
    <row r="4" hidden="1">
      <c r="A4" s="139"/>
      <c r="B4" s="139" t="str">
        <f>IFERROR(__xludf.DUMMYFUNCTION("""COMPUTED_VALUE"""),"PT Totals")</f>
        <v>PT Totals</v>
      </c>
      <c r="C4" s="139">
        <f>IFERROR(__xludf.DUMMYFUNCTION("""COMPUTED_VALUE"""),1.0)</f>
        <v>1</v>
      </c>
    </row>
    <row r="5">
      <c r="A5" s="139"/>
      <c r="B5" s="139" t="str">
        <f>IFERROR(__xludf.DUMMYFUNCTION("""COMPUTED_VALUE"""),"Peanutians")</f>
        <v>Peanutians</v>
      </c>
      <c r="C5" s="139">
        <f>IFERROR(__xludf.DUMMYFUNCTION("""COMPUTED_VALUE"""),13.0)</f>
        <v>13</v>
      </c>
    </row>
    <row r="6" hidden="1">
      <c r="A6" s="139"/>
      <c r="B6" s="139" t="str">
        <f>IFERROR(__xludf.DUMMYFUNCTION("""COMPUTED_VALUE"""),"PT Totals")</f>
        <v>PT Totals</v>
      </c>
      <c r="C6" s="139">
        <f>IFERROR(__xludf.DUMMYFUNCTION("""COMPUTED_VALUE"""),1.0)</f>
        <v>1</v>
      </c>
    </row>
    <row r="7">
      <c r="A7" s="139"/>
      <c r="B7" s="139" t="str">
        <f>IFERROR(__xludf.DUMMYFUNCTION("""COMPUTED_VALUE"""),"Midnight Sun ")</f>
        <v>Midnight Sun </v>
      </c>
      <c r="C7" s="139">
        <f>IFERROR(__xludf.DUMMYFUNCTION("""COMPUTED_VALUE"""),2.0)</f>
        <v>2</v>
      </c>
    </row>
    <row r="8" hidden="1">
      <c r="A8" s="139"/>
      <c r="B8" s="139" t="str">
        <f>IFERROR(__xludf.DUMMYFUNCTION("""COMPUTED_VALUE"""),"PT Totals")</f>
        <v>PT Totals</v>
      </c>
      <c r="C8" s="139">
        <f>IFERROR(__xludf.DUMMYFUNCTION("""COMPUTED_VALUE"""),1.0)</f>
        <v>1</v>
      </c>
    </row>
    <row r="9">
      <c r="A9" s="139"/>
      <c r="B9" s="139" t="str">
        <f>IFERROR(__xludf.DUMMYFUNCTION("""COMPUTED_VALUE"""),"Sahuaro")</f>
        <v>Sahuaro</v>
      </c>
      <c r="C9" s="139">
        <f>IFERROR(__xludf.DUMMYFUNCTION("""COMPUTED_VALUE"""),2.0)</f>
        <v>2</v>
      </c>
    </row>
    <row r="10">
      <c r="A10" s="139"/>
      <c r="B10" s="139" t="str">
        <f>IFERROR(__xludf.DUMMYFUNCTION("""COMPUTED_VALUE"""),"Mountain Foul Ups")</f>
        <v>Mountain Foul Ups</v>
      </c>
      <c r="C10" s="139">
        <f>IFERROR(__xludf.DUMMYFUNCTION("""COMPUTED_VALUE"""),6.0)</f>
        <v>6</v>
      </c>
    </row>
    <row r="11">
      <c r="A11" s="139"/>
      <c r="B11" s="139" t="str">
        <f>IFERROR(__xludf.DUMMYFUNCTION("""COMPUTED_VALUE"""),"Yuta Hay")</f>
        <v>Yuta Hay</v>
      </c>
      <c r="C11" s="139">
        <f>IFERROR(__xludf.DUMMYFUNCTION("""COMPUTED_VALUE"""),10.0)</f>
        <v>10</v>
      </c>
    </row>
    <row r="12">
      <c r="A12" s="139"/>
      <c r="B12" s="139" t="str">
        <f>IFERROR(__xludf.DUMMYFUNCTION("""COMPUTED_VALUE"""),"Sunny Slops")</f>
        <v>Sunny Slops</v>
      </c>
      <c r="C12" s="139">
        <f>IFERROR(__xludf.DUMMYFUNCTION("""COMPUTED_VALUE"""),11.0)</f>
        <v>11</v>
      </c>
    </row>
    <row r="13">
      <c r="A13" s="139"/>
      <c r="B13" s="139" t="str">
        <f>IFERROR(__xludf.DUMMYFUNCTION("""COMPUTED_VALUE"""),"Huchie Kuchie")</f>
        <v>Huchie Kuchie</v>
      </c>
      <c r="C13" s="139">
        <f>IFERROR(__xludf.DUMMYFUNCTION("""COMPUTED_VALUE"""),13.0)</f>
        <v>13</v>
      </c>
    </row>
    <row r="14">
      <c r="A14" s="139"/>
      <c r="B14" s="139" t="str">
        <f>IFERROR(__xludf.DUMMYFUNCTION("""COMPUTED_VALUE"""),"Wilde E Coyotes")</f>
        <v>Wilde E Coyotes</v>
      </c>
      <c r="C14" s="139">
        <f>IFERROR(__xludf.DUMMYFUNCTION("""COMPUTED_VALUE"""),14.0)</f>
        <v>14</v>
      </c>
    </row>
    <row r="15">
      <c r="A15" s="139"/>
      <c r="B15" s="139" t="str">
        <f>IFERROR(__xludf.DUMMYFUNCTION("""COMPUTED_VALUE"""),"Slot Junkie")</f>
        <v>Slot Junkie</v>
      </c>
      <c r="C15" s="139">
        <f>IFERROR(__xludf.DUMMYFUNCTION("""COMPUTED_VALUE"""),777.0)</f>
        <v>777</v>
      </c>
    </row>
    <row r="16" hidden="1">
      <c r="A16" s="139"/>
      <c r="B16" s="139" t="str">
        <f>IFERROR(__xludf.DUMMYFUNCTION("""COMPUTED_VALUE"""),"PT Totals")</f>
        <v>PT Totals</v>
      </c>
      <c r="C16" s="139">
        <f>IFERROR(__xludf.DUMMYFUNCTION("""COMPUTED_VALUE"""),7.0)</f>
        <v>7</v>
      </c>
    </row>
    <row r="17">
      <c r="A17" s="139"/>
      <c r="B17" s="139" t="str">
        <f>IFERROR(__xludf.DUMMYFUNCTION("""COMPUTED_VALUE"""),"Hog-Wollowers")</f>
        <v>Hog-Wollowers</v>
      </c>
      <c r="C17" s="139">
        <f>IFERROR(__xludf.DUMMYFUNCTION("""COMPUTED_VALUE"""),3.0)</f>
        <v>3</v>
      </c>
    </row>
    <row r="18">
      <c r="A18" s="139"/>
      <c r="B18" s="139" t="str">
        <f>IFERROR(__xludf.DUMMYFUNCTION("""COMPUTED_VALUE"""),"Stump Jucers")</f>
        <v>Stump Jucers</v>
      </c>
      <c r="C18" s="139">
        <f>IFERROR(__xludf.DUMMYFUNCTION("""COMPUTED_VALUE"""),13.0)</f>
        <v>13</v>
      </c>
    </row>
    <row r="19">
      <c r="A19" s="139"/>
      <c r="B19" s="139" t="str">
        <f>IFERROR(__xludf.DUMMYFUNCTION("""COMPUTED_VALUE"""),"Hogwash")</f>
        <v>Hogwash</v>
      </c>
      <c r="C19" s="139">
        <f>IFERROR(__xludf.DUMMYFUNCTION("""COMPUTED_VALUE"""),14.0)</f>
        <v>14</v>
      </c>
    </row>
    <row r="20">
      <c r="A20" s="139"/>
      <c r="B20" s="139" t="str">
        <f>IFERROR(__xludf.DUMMYFUNCTION("""COMPUTED_VALUE"""),"Wild Hogs")</f>
        <v>Wild Hogs</v>
      </c>
      <c r="C20" s="139">
        <f>IFERROR(__xludf.DUMMYFUNCTION("""COMPUTED_VALUE"""),21.0)</f>
        <v>21</v>
      </c>
    </row>
    <row r="21" hidden="1">
      <c r="A21" s="139"/>
      <c r="B21" s="139" t="str">
        <f>IFERROR(__xludf.DUMMYFUNCTION("""COMPUTED_VALUE"""),"PT Totals")</f>
        <v>PT Totals</v>
      </c>
      <c r="C21" s="139">
        <f>IFERROR(__xludf.DUMMYFUNCTION("""COMPUTED_VALUE"""),4.0)</f>
        <v>4</v>
      </c>
    </row>
    <row r="22">
      <c r="A22" s="139"/>
      <c r="B22" s="139" t="str">
        <f>IFERROR(__xludf.DUMMYFUNCTION("""COMPUTED_VALUE"""),"Red Feather ")</f>
        <v>Red Feather </v>
      </c>
      <c r="C22" s="139">
        <f>IFERROR(__xludf.DUMMYFUNCTION("""COMPUTED_VALUE"""),7.0)</f>
        <v>7</v>
      </c>
    </row>
    <row r="23">
      <c r="A23" s="139"/>
      <c r="B23" s="139" t="str">
        <f>IFERROR(__xludf.DUMMYFUNCTION("""COMPUTED_VALUE"""),"Solano Chiefs")</f>
        <v>Solano Chiefs</v>
      </c>
      <c r="C23" s="139">
        <f>IFERROR(__xludf.DUMMYFUNCTION("""COMPUTED_VALUE"""),16.0)</f>
        <v>16</v>
      </c>
    </row>
    <row r="24">
      <c r="A24" s="139"/>
      <c r="B24" s="139" t="str">
        <f>IFERROR(__xludf.DUMMYFUNCTION("""COMPUTED_VALUE"""),"Li'l Bugs ")</f>
        <v>Li'l Bugs </v>
      </c>
      <c r="C24" s="139">
        <f>IFERROR(__xludf.DUMMYFUNCTION("""COMPUTED_VALUE"""),19.0)</f>
        <v>19</v>
      </c>
    </row>
    <row r="25">
      <c r="A25" s="139"/>
      <c r="B25" s="139" t="str">
        <f>IFERROR(__xludf.DUMMYFUNCTION("""COMPUTED_VALUE"""),"Skidoo")</f>
        <v>Skidoo</v>
      </c>
      <c r="C25" s="139">
        <f>IFERROR(__xludf.DUMMYFUNCTION("""COMPUTED_VALUE"""),23.0)</f>
        <v>23</v>
      </c>
    </row>
    <row r="26">
      <c r="A26" s="139"/>
      <c r="B26" s="139" t="str">
        <f>IFERROR(__xludf.DUMMYFUNCTION("""COMPUTED_VALUE"""),"Vainglorious Vista Vermin")</f>
        <v>Vainglorious Vista Vermin</v>
      </c>
      <c r="C26" s="139">
        <f>IFERROR(__xludf.DUMMYFUNCTION("""COMPUTED_VALUE"""),40.0)</f>
        <v>40</v>
      </c>
    </row>
    <row r="27">
      <c r="A27" s="139"/>
      <c r="B27" s="139" t="str">
        <f>IFERROR(__xludf.DUMMYFUNCTION("""COMPUTED_VALUE"""),"Chinchies ")</f>
        <v>Chinchies </v>
      </c>
      <c r="C27" s="139">
        <f>IFERROR(__xludf.DUMMYFUNCTION("""COMPUTED_VALUE"""),43.0)</f>
        <v>43</v>
      </c>
    </row>
    <row r="28">
      <c r="A28" s="139"/>
      <c r="B28" s="139" t="str">
        <f>IFERROR(__xludf.DUMMYFUNCTION("""COMPUTED_VALUE"""),"Perrisites ")</f>
        <v>Perrisites </v>
      </c>
      <c r="C28" s="139">
        <f>IFERROR(__xludf.DUMMYFUNCTION("""COMPUTED_VALUE"""),44.0)</f>
        <v>44</v>
      </c>
    </row>
    <row r="29">
      <c r="A29" s="139"/>
      <c r="B29" s="139" t="str">
        <f>IFERROR(__xludf.DUMMYFUNCTION("""COMPUTED_VALUE"""),"Mule Tail ")</f>
        <v>Mule Tail </v>
      </c>
      <c r="C29" s="139">
        <f>IFERROR(__xludf.DUMMYFUNCTION("""COMPUTED_VALUE"""),61.0)</f>
        <v>61</v>
      </c>
    </row>
    <row r="30">
      <c r="A30" s="139"/>
      <c r="B30" s="139" t="str">
        <f>IFERROR(__xludf.DUMMYFUNCTION("""COMPUTED_VALUE"""),"Greenbacks")</f>
        <v>Greenbacks</v>
      </c>
      <c r="C30" s="139">
        <f>IFERROR(__xludf.DUMMYFUNCTION("""COMPUTED_VALUE"""),66.0)</f>
        <v>66</v>
      </c>
    </row>
    <row r="31">
      <c r="A31" s="139"/>
      <c r="B31" s="139" t="str">
        <f>IFERROR(__xludf.DUMMYFUNCTION("""COMPUTED_VALUE"""),"Pit Stop   ")</f>
        <v>Pit Stop   </v>
      </c>
      <c r="C31" s="139">
        <f>IFERROR(__xludf.DUMMYFUNCTION("""COMPUTED_VALUE"""),68.0)</f>
        <v>68</v>
      </c>
    </row>
    <row r="32">
      <c r="A32" s="139"/>
      <c r="B32" s="139" t="str">
        <f>IFERROR(__xludf.DUMMYFUNCTION("""COMPUTED_VALUE"""),"Lunar Tics")</f>
        <v>Lunar Tics</v>
      </c>
      <c r="C32" s="139">
        <f>IFERROR(__xludf.DUMMYFUNCTION("""COMPUTED_VALUE"""),69.0)</f>
        <v>69</v>
      </c>
    </row>
    <row r="33">
      <c r="A33" s="139" t="str">
        <f>IFERROR(__xludf.DUMMYFUNCTION("""COMPUTED_VALUE"""),"NEW IN 2026")</f>
        <v>NEW IN 2026</v>
      </c>
      <c r="B33" s="139" t="str">
        <f>IFERROR(__xludf.DUMMYFUNCTION("""COMPUTED_VALUE"""),"Battlefield Buffoons (New 25-26)")</f>
        <v>Battlefield Buffoons (New 25-26)</v>
      </c>
      <c r="C33" s="139">
        <f>IFERROR(__xludf.DUMMYFUNCTION("""COMPUTED_VALUE"""),77.0)</f>
        <v>77</v>
      </c>
    </row>
    <row r="34" hidden="1">
      <c r="A34" s="139" t="str">
        <f>IFERROR(__xludf.DUMMYFUNCTION("""COMPUTED_VALUE"""),"NEW IN 2026")</f>
        <v>NEW IN 2026</v>
      </c>
      <c r="B34" s="139" t="str">
        <f>IFERROR(__xludf.DUMMYFUNCTION("""COMPUTED_VALUE"""),"Bandits (NEW 25-26)")</f>
        <v>Bandits (NEW 25-26)</v>
      </c>
      <c r="C34" s="139">
        <f>IFERROR(__xludf.DUMMYFUNCTION("""COMPUTED_VALUE"""),79.0)</f>
        <v>79</v>
      </c>
    </row>
    <row r="35">
      <c r="A35" s="139"/>
      <c r="B35" s="139" t="str">
        <f>IFERROR(__xludf.DUMMYFUNCTION("""COMPUTED_VALUE"""),"PT Totals")</f>
        <v>PT Totals</v>
      </c>
      <c r="C35" s="139">
        <f>IFERROR(__xludf.DUMMYFUNCTION("""COMPUTED_VALUE"""),12.0)</f>
        <v>12</v>
      </c>
    </row>
    <row r="36">
      <c r="A36" s="139"/>
      <c r="B36" s="139" t="str">
        <f>IFERROR(__xludf.DUMMYFUNCTION("""COMPUTED_VALUE"""),"Silver Dollar ")</f>
        <v>Silver Dollar </v>
      </c>
      <c r="C36" s="139">
        <f>IFERROR(__xludf.DUMMYFUNCTION("""COMPUTED_VALUE"""),1.0)</f>
        <v>1</v>
      </c>
    </row>
    <row r="37">
      <c r="A37" s="139"/>
      <c r="B37" s="139" t="str">
        <f>IFERROR(__xludf.DUMMYFUNCTION("""COMPUTED_VALUE"""),"3-P-T  ")</f>
        <v>3-P-T  </v>
      </c>
      <c r="C37" s="139">
        <f>IFERROR(__xludf.DUMMYFUNCTION("""COMPUTED_VALUE"""),2.0)</f>
        <v>2</v>
      </c>
    </row>
    <row r="38">
      <c r="A38" s="139"/>
      <c r="B38" s="139" t="str">
        <f>IFERROR(__xludf.DUMMYFUNCTION("""COMPUTED_VALUE"""),"Galloping Domino")</f>
        <v>Galloping Domino</v>
      </c>
      <c r="C38" s="139">
        <f>IFERROR(__xludf.DUMMYFUNCTION("""COMPUTED_VALUE"""),7.0)</f>
        <v>7</v>
      </c>
    </row>
    <row r="39">
      <c r="A39" s="139"/>
      <c r="B39" s="139" t="str">
        <f>IFERROR(__xludf.DUMMYFUNCTION("""COMPUTED_VALUE"""),"Uncompahgre")</f>
        <v>Uncompahgre</v>
      </c>
      <c r="C39" s="139">
        <f>IFERROR(__xludf.DUMMYFUNCTION("""COMPUTED_VALUE"""),14.0)</f>
        <v>14</v>
      </c>
    </row>
    <row r="40" hidden="1">
      <c r="A40" s="139"/>
      <c r="B40" s="139" t="str">
        <f>IFERROR(__xludf.DUMMYFUNCTION("""COMPUTED_VALUE"""),"Flatlands ")</f>
        <v>Flatlands </v>
      </c>
      <c r="C40" s="139">
        <f>IFERROR(__xludf.DUMMYFUNCTION("""COMPUTED_VALUE"""),19.0)</f>
        <v>19</v>
      </c>
    </row>
    <row r="41">
      <c r="A41" s="139"/>
      <c r="B41" s="139" t="str">
        <f>IFERROR(__xludf.DUMMYFUNCTION("""COMPUTED_VALUE"""),"PT Totals")</f>
        <v>PT Totals</v>
      </c>
      <c r="C41" s="139">
        <f>IFERROR(__xludf.DUMMYFUNCTION("""COMPUTED_VALUE"""),5.0)</f>
        <v>5</v>
      </c>
    </row>
    <row r="42">
      <c r="A42" s="139"/>
      <c r="B42" s="139" t="str">
        <f>IFERROR(__xludf.DUMMYFUNCTION("""COMPUTED_VALUE"""),"Ki-Yi")</f>
        <v>Ki-Yi</v>
      </c>
      <c r="C42" s="139">
        <f>IFERROR(__xludf.DUMMYFUNCTION("""COMPUTED_VALUE"""),1.0)</f>
        <v>1</v>
      </c>
    </row>
    <row r="43">
      <c r="A43" s="139"/>
      <c r="B43" s="139" t="str">
        <f>IFERROR(__xludf.DUMMYFUNCTION("""COMPUTED_VALUE"""),"King Crab")</f>
        <v>King Crab</v>
      </c>
      <c r="C43" s="139">
        <f>IFERROR(__xludf.DUMMYFUNCTION("""COMPUTED_VALUE"""),2.0)</f>
        <v>2</v>
      </c>
    </row>
    <row r="44" hidden="1">
      <c r="A44" s="139"/>
      <c r="B44" s="139" t="str">
        <f>IFERROR(__xludf.DUMMYFUNCTION("""COMPUTED_VALUE"""),"Fidlers")</f>
        <v>Fidlers</v>
      </c>
      <c r="C44" s="139">
        <f>IFERROR(__xludf.DUMMYFUNCTION("""COMPUTED_VALUE"""),4.0)</f>
        <v>4</v>
      </c>
    </row>
    <row r="45">
      <c r="A45" s="139"/>
      <c r="B45" s="139" t="str">
        <f>IFERROR(__xludf.DUMMYFUNCTION("""COMPUTED_VALUE"""),"PT Totals")</f>
        <v>PT Totals</v>
      </c>
      <c r="C45" s="139">
        <f>IFERROR(__xludf.DUMMYFUNCTION("""COMPUTED_VALUE"""),3.0)</f>
        <v>3</v>
      </c>
    </row>
    <row r="46" hidden="1">
      <c r="A46" s="139"/>
      <c r="B46" s="139" t="str">
        <f>IFERROR(__xludf.DUMMYFUNCTION("""COMPUTED_VALUE"""),"Lebkuchen ")</f>
        <v>Lebkuchen </v>
      </c>
      <c r="C46" s="139">
        <f>IFERROR(__xludf.DUMMYFUNCTION("""COMPUTED_VALUE"""),6.0)</f>
        <v>6</v>
      </c>
    </row>
    <row r="47">
      <c r="A47" s="139"/>
      <c r="B47" s="139" t="str">
        <f>IFERROR(__xludf.DUMMYFUNCTION("""COMPUTED_VALUE"""),"PT Totals")</f>
        <v>PT Totals</v>
      </c>
      <c r="C47" s="139">
        <f>IFERROR(__xludf.DUMMYFUNCTION("""COMPUTED_VALUE"""),1.0)</f>
        <v>1</v>
      </c>
    </row>
    <row r="48">
      <c r="A48" s="139"/>
      <c r="B48" s="139" t="str">
        <f>IFERROR(__xludf.DUMMYFUNCTION("""COMPUTED_VALUE"""),"Yellow River Bellies")</f>
        <v>Yellow River Bellies</v>
      </c>
      <c r="C48" s="139">
        <f>IFERROR(__xludf.DUMMYFUNCTION("""COMPUTED_VALUE"""),1.0)</f>
        <v>1</v>
      </c>
    </row>
    <row r="49">
      <c r="A49" s="139"/>
      <c r="B49" s="139" t="str">
        <f>IFERROR(__xludf.DUMMYFUNCTION("""COMPUTED_VALUE"""),"Missile Bugs")</f>
        <v>Missile Bugs</v>
      </c>
      <c r="C49" s="139">
        <f>IFERROR(__xludf.DUMMYFUNCTION("""COMPUTED_VALUE"""),2.0)</f>
        <v>2</v>
      </c>
    </row>
    <row r="50">
      <c r="A50" s="139"/>
      <c r="B50" s="139" t="str">
        <f>IFERROR(__xludf.DUMMYFUNCTION("""COMPUTED_VALUE"""),"Boweevil")</f>
        <v>Boweevil</v>
      </c>
      <c r="C50" s="139">
        <f>IFERROR(__xludf.DUMMYFUNCTION("""COMPUTED_VALUE"""),8.0)</f>
        <v>8</v>
      </c>
    </row>
    <row r="51">
      <c r="A51" s="139"/>
      <c r="B51" s="139" t="str">
        <f>IFERROR(__xludf.DUMMYFUNCTION("""COMPUTED_VALUE"""),"Manatee")</f>
        <v>Manatee</v>
      </c>
      <c r="C51" s="139">
        <f>IFERROR(__xludf.DUMMYFUNCTION("""COMPUTED_VALUE"""),17.0)</f>
        <v>17</v>
      </c>
    </row>
    <row r="52">
      <c r="A52" s="139"/>
      <c r="B52" s="139" t="str">
        <f>IFERROR(__xludf.DUMMYFUNCTION("""COMPUTED_VALUE"""),"Gator")</f>
        <v>Gator</v>
      </c>
      <c r="C52" s="139">
        <f>IFERROR(__xludf.DUMMYFUNCTION("""COMPUTED_VALUE"""),18.0)</f>
        <v>18</v>
      </c>
    </row>
    <row r="53">
      <c r="A53" s="139"/>
      <c r="B53" s="139" t="str">
        <f>IFERROR(__xludf.DUMMYFUNCTION("""COMPUTED_VALUE"""),"Catfish")</f>
        <v>Catfish</v>
      </c>
      <c r="C53" s="139">
        <f>IFERROR(__xludf.DUMMYFUNCTION("""COMPUTED_VALUE"""),23.0)</f>
        <v>23</v>
      </c>
    </row>
    <row r="54">
      <c r="A54" s="139"/>
      <c r="B54" s="139" t="str">
        <f>IFERROR(__xludf.DUMMYFUNCTION("""COMPUTED_VALUE"""),"Cootieville  ")</f>
        <v>Cootieville  </v>
      </c>
      <c r="C54" s="139">
        <f>IFERROR(__xludf.DUMMYFUNCTION("""COMPUTED_VALUE"""),25.0)</f>
        <v>25</v>
      </c>
    </row>
    <row r="55">
      <c r="A55" s="139"/>
      <c r="B55" s="139" t="str">
        <f>IFERROR(__xludf.DUMMYFUNCTION("""COMPUTED_VALUE"""),"Love Bugs")</f>
        <v>Love Bugs</v>
      </c>
      <c r="C55" s="139">
        <f>IFERROR(__xludf.DUMMYFUNCTION("""COMPUTED_VALUE"""),29.0)</f>
        <v>29</v>
      </c>
    </row>
    <row r="56">
      <c r="A56" s="139"/>
      <c r="B56" s="139" t="str">
        <f>IFERROR(__xludf.DUMMYFUNCTION("""COMPUTED_VALUE"""),"Sons of the Beaches")</f>
        <v>Sons of the Beaches</v>
      </c>
      <c r="C56" s="139">
        <f>IFERROR(__xludf.DUMMYFUNCTION("""COMPUTED_VALUE"""),32.0)</f>
        <v>32</v>
      </c>
    </row>
    <row r="57">
      <c r="A57" s="139"/>
      <c r="B57" s="139" t="str">
        <f>IFERROR(__xludf.DUMMYFUNCTION("""COMPUTED_VALUE"""),"White Sands")</f>
        <v>White Sands</v>
      </c>
      <c r="C57" s="139">
        <f>IFERROR(__xludf.DUMMYFUNCTION("""COMPUTED_VALUE"""),41.0)</f>
        <v>41</v>
      </c>
    </row>
    <row r="58">
      <c r="A58" s="139"/>
      <c r="B58" s="139" t="str">
        <f>IFERROR(__xludf.DUMMYFUNCTION("""COMPUTED_VALUE"""),"Ho-Be Hoboes")</f>
        <v>Ho-Be Hoboes</v>
      </c>
      <c r="C58" s="139">
        <f>IFERROR(__xludf.DUMMYFUNCTION("""COMPUTED_VALUE"""),44.0)</f>
        <v>44</v>
      </c>
    </row>
    <row r="59">
      <c r="A59" s="139"/>
      <c r="B59" s="139" t="str">
        <f>IFERROR(__xludf.DUMMYFUNCTION("""COMPUTED_VALUE"""),"Valley Suckers")</f>
        <v>Valley Suckers</v>
      </c>
      <c r="C59" s="139">
        <f>IFERROR(__xludf.DUMMYFUNCTION("""COMPUTED_VALUE"""),51.0)</f>
        <v>51</v>
      </c>
    </row>
    <row r="60">
      <c r="A60" s="139"/>
      <c r="B60" s="139" t="str">
        <f>IFERROR(__xludf.DUMMYFUNCTION("""COMPUTED_VALUE"""),"Richeys  ")</f>
        <v>Richeys  </v>
      </c>
      <c r="C60" s="139">
        <f>IFERROR(__xludf.DUMMYFUNCTION("""COMPUTED_VALUE"""),55.0)</f>
        <v>55</v>
      </c>
    </row>
    <row r="61">
      <c r="A61" s="139"/>
      <c r="B61" s="139" t="str">
        <f>IFERROR(__xludf.DUMMYFUNCTION("""COMPUTED_VALUE"""),"Transplant")</f>
        <v>Transplant</v>
      </c>
      <c r="C61" s="139">
        <f>IFERROR(__xludf.DUMMYFUNCTION("""COMPUTED_VALUE"""),56.0)</f>
        <v>56</v>
      </c>
    </row>
    <row r="62">
      <c r="A62" s="139"/>
      <c r="B62" s="139" t="str">
        <f>IFERROR(__xludf.DUMMYFUNCTION("""COMPUTED_VALUE"""),"Scratch Ankle")</f>
        <v>Scratch Ankle</v>
      </c>
      <c r="C62" s="139">
        <f>IFERROR(__xludf.DUMMYFUNCTION("""COMPUTED_VALUE"""),59.0)</f>
        <v>59</v>
      </c>
    </row>
    <row r="63">
      <c r="A63" s="139"/>
      <c r="B63" s="139" t="str">
        <f>IFERROR(__xludf.DUMMYFUNCTION("""COMPUTED_VALUE"""),"Sea Oats")</f>
        <v>Sea Oats</v>
      </c>
      <c r="C63" s="139">
        <f>IFERROR(__xludf.DUMMYFUNCTION("""COMPUTED_VALUE"""),66.0)</f>
        <v>66</v>
      </c>
    </row>
    <row r="64">
      <c r="A64" s="139"/>
      <c r="B64" s="139" t="str">
        <f>IFERROR(__xludf.DUMMYFUNCTION("""COMPUTED_VALUE"""),"Withlacoochee")</f>
        <v>Withlacoochee</v>
      </c>
      <c r="C64" s="139">
        <f>IFERROR(__xludf.DUMMYFUNCTION("""COMPUTED_VALUE"""),76.0)</f>
        <v>76</v>
      </c>
    </row>
    <row r="65" hidden="1">
      <c r="A65" s="139"/>
      <c r="B65" s="139" t="str">
        <f>IFERROR(__xludf.DUMMYFUNCTION("""COMPUTED_VALUE"""),"Midway Mites ")</f>
        <v>Midway Mites </v>
      </c>
      <c r="C65" s="139">
        <f>IFERROR(__xludf.DUMMYFUNCTION("""COMPUTED_VALUE"""),98.0)</f>
        <v>98</v>
      </c>
    </row>
    <row r="66">
      <c r="A66" s="139"/>
      <c r="B66" s="139" t="str">
        <f>IFERROR(__xludf.DUMMYFUNCTION("""COMPUTED_VALUE"""),"PT Totals")</f>
        <v>PT Totals</v>
      </c>
      <c r="C66" s="139">
        <f>IFERROR(__xludf.DUMMYFUNCTION("""COMPUTED_VALUE"""),18.0)</f>
        <v>18</v>
      </c>
    </row>
    <row r="67">
      <c r="A67" s="139"/>
      <c r="B67" s="139" t="str">
        <f>IFERROR(__xludf.DUMMYFUNCTION("""COMPUTED_VALUE"""),"Mossy Mites")</f>
        <v>Mossy Mites</v>
      </c>
      <c r="C67" s="139">
        <f>IFERROR(__xludf.DUMMYFUNCTION("""COMPUTED_VALUE"""),1.0)</f>
        <v>1</v>
      </c>
    </row>
    <row r="68">
      <c r="A68" s="139"/>
      <c r="B68" s="139" t="str">
        <f>IFERROR(__xludf.DUMMYFUNCTION("""COMPUTED_VALUE"""),"Kudzu Mafia")</f>
        <v>Kudzu Mafia</v>
      </c>
      <c r="C68" s="139">
        <f>IFERROR(__xludf.DUMMYFUNCTION("""COMPUTED_VALUE"""),4.0)</f>
        <v>4</v>
      </c>
    </row>
    <row r="69">
      <c r="A69" s="139"/>
      <c r="B69" s="139" t="str">
        <f>IFERROR(__xludf.DUMMYFUNCTION("""COMPUTED_VALUE"""),"Muff Rats")</f>
        <v>Muff Rats</v>
      </c>
      <c r="C69" s="139">
        <f>IFERROR(__xludf.DUMMYFUNCTION("""COMPUTED_VALUE"""),5.0)</f>
        <v>5</v>
      </c>
    </row>
    <row r="70" hidden="1">
      <c r="A70" s="139"/>
      <c r="B70" s="139" t="str">
        <f>IFERROR(__xludf.DUMMYFUNCTION("""COMPUTED_VALUE"""),"Horney Bug")</f>
        <v>Horney Bug</v>
      </c>
      <c r="C70" s="139">
        <f>IFERROR(__xludf.DUMMYFUNCTION("""COMPUTED_VALUE"""),66.0)</f>
        <v>66</v>
      </c>
    </row>
    <row r="71">
      <c r="A71" s="139" t="str">
        <f>IFERROR(__xludf.DUMMYFUNCTION("""COMPUTED_VALUE"""),"NEW APR 2026")</f>
        <v>NEW APR 2026</v>
      </c>
      <c r="B71" s="139" t="str">
        <f>IFERROR(__xludf.DUMMYFUNCTION("""COMPUTED_VALUE"""),"RED VELVET ANTS")</f>
        <v>RED VELVET ANTS</v>
      </c>
      <c r="C71" s="139">
        <f>IFERROR(__xludf.DUMMYFUNCTION("""COMPUTED_VALUE"""),22.0)</f>
        <v>22</v>
      </c>
    </row>
    <row r="72" hidden="1">
      <c r="A72" s="139"/>
      <c r="B72" s="139" t="str">
        <f>IFERROR(__xludf.DUMMYFUNCTION("""COMPUTED_VALUE"""),"PT Totals")</f>
        <v>PT Totals</v>
      </c>
      <c r="C72" s="139">
        <f>IFERROR(__xludf.DUMMYFUNCTION("""COMPUTED_VALUE"""),5.0)</f>
        <v>5</v>
      </c>
    </row>
    <row r="73">
      <c r="A73" s="139"/>
      <c r="B73" s="139" t="str">
        <f>IFERROR(__xludf.DUMMYFUNCTION("""COMPUTED_VALUE"""),"Okolehao (Reinstated 2025-2026)")</f>
        <v>Okolehao (Reinstated 2025-2026)</v>
      </c>
      <c r="C73" s="139">
        <f>IFERROR(__xludf.DUMMYFUNCTION("""COMPUTED_VALUE"""),1.0)</f>
        <v>1</v>
      </c>
    </row>
    <row r="74">
      <c r="A74" s="139"/>
      <c r="B74" s="139" t="str">
        <f>IFERROR(__xludf.DUMMYFUNCTION("""COMPUTED_VALUE"""),"PT Totals")</f>
        <v>PT Totals</v>
      </c>
      <c r="C74" s="139">
        <f>IFERROR(__xludf.DUMMYFUNCTION("""COMPUTED_VALUE"""),1.0)</f>
        <v>1</v>
      </c>
    </row>
    <row r="75">
      <c r="A75" s="139"/>
      <c r="B75" s="139" t="str">
        <f>IFERROR(__xludf.DUMMYFUNCTION("""COMPUTED_VALUE"""),"Peoria")</f>
        <v>Peoria</v>
      </c>
      <c r="C75" s="139">
        <f>IFERROR(__xludf.DUMMYFUNCTION("""COMPUTED_VALUE"""),2.0)</f>
        <v>2</v>
      </c>
    </row>
    <row r="76">
      <c r="A76" s="139"/>
      <c r="B76" s="139" t="str">
        <f>IFERROR(__xludf.DUMMYFUNCTION("""COMPUTED_VALUE"""),"Nwalkao-High Pot")</f>
        <v>Nwalkao-High Pot</v>
      </c>
      <c r="C76" s="139">
        <f>IFERROR(__xludf.DUMMYFUNCTION("""COMPUTED_VALUE"""),42.0)</f>
        <v>42</v>
      </c>
    </row>
    <row r="77">
      <c r="A77" s="139"/>
      <c r="B77" s="139" t="str">
        <f>IFERROR(__xludf.DUMMYFUNCTION("""COMPUTED_VALUE"""),"Sucker")</f>
        <v>Sucker</v>
      </c>
      <c r="C77" s="139">
        <f>IFERROR(__xludf.DUMMYFUNCTION("""COMPUTED_VALUE"""),48.0)</f>
        <v>48</v>
      </c>
    </row>
    <row r="78" hidden="1">
      <c r="A78" s="139"/>
      <c r="B78" s="139" t="str">
        <f>IFERROR(__xludf.DUMMYFUNCTION("""COMPUTED_VALUE"""),"8-Er From Decatur")</f>
        <v>8-Er From Decatur</v>
      </c>
      <c r="C78" s="139">
        <f>IFERROR(__xludf.DUMMYFUNCTION("""COMPUTED_VALUE"""),62.0)</f>
        <v>62</v>
      </c>
    </row>
    <row r="79">
      <c r="A79" s="139"/>
      <c r="B79" s="139" t="str">
        <f>IFERROR(__xludf.DUMMYFUNCTION("""COMPUTED_VALUE"""),"Rakkasans")</f>
        <v>Rakkasans</v>
      </c>
      <c r="C79" s="139">
        <f>IFERROR(__xludf.DUMMYFUNCTION("""COMPUTED_VALUE"""),79.0)</f>
        <v>79</v>
      </c>
    </row>
    <row r="80" hidden="1">
      <c r="A80" s="139"/>
      <c r="B80" s="139" t="str">
        <f>IFERROR(__xludf.DUMMYFUNCTION("""COMPUTED_VALUE"""),"Indy Racers")</f>
        <v>Indy Racers</v>
      </c>
      <c r="C80" s="139">
        <f>IFERROR(__xludf.DUMMYFUNCTION("""COMPUTED_VALUE"""),11.0)</f>
        <v>11</v>
      </c>
    </row>
    <row r="81">
      <c r="A81" s="139"/>
      <c r="B81" s="139" t="str">
        <f>IFERROR(__xludf.DUMMYFUNCTION("""COMPUTED_VALUE"""),"PT Totals")</f>
        <v>PT Totals</v>
      </c>
      <c r="C81" s="139">
        <f>IFERROR(__xludf.DUMMYFUNCTION("""COMPUTED_VALUE"""),1.0)</f>
        <v>1</v>
      </c>
    </row>
    <row r="82">
      <c r="A82" s="139"/>
      <c r="B82" s="139" t="str">
        <f>IFERROR(__xludf.DUMMYFUNCTION("""COMPUTED_VALUE"""),"Malolos Verdun")</f>
        <v>Malolos Verdun</v>
      </c>
      <c r="C82" s="139">
        <f>IFERROR(__xludf.DUMMYFUNCTION("""COMPUTED_VALUE"""),1.0)</f>
        <v>1</v>
      </c>
    </row>
    <row r="83">
      <c r="A83" s="139"/>
      <c r="B83" s="139" t="str">
        <f>IFERROR(__xludf.DUMMYFUNCTION("""COMPUTED_VALUE"""),"Cedar Bugs")</f>
        <v>Cedar Bugs</v>
      </c>
      <c r="C83" s="139">
        <f>IFERROR(__xludf.DUMMYFUNCTION("""COMPUTED_VALUE"""),6.0)</f>
        <v>6</v>
      </c>
    </row>
    <row r="84" hidden="1">
      <c r="A84" s="139"/>
      <c r="B84" s="139" t="str">
        <f>IFERROR(__xludf.DUMMYFUNCTION("""COMPUTED_VALUE"""),"Beaver Patrol")</f>
        <v>Beaver Patrol</v>
      </c>
      <c r="C84" s="139">
        <f>IFERROR(__xludf.DUMMYFUNCTION("""COMPUTED_VALUE"""),69.0)</f>
        <v>69</v>
      </c>
    </row>
    <row r="85">
      <c r="A85" s="139"/>
      <c r="B85" s="139" t="str">
        <f>IFERROR(__xludf.DUMMYFUNCTION("""COMPUTED_VALUE"""),"PT Totals")</f>
        <v>PT Totals</v>
      </c>
      <c r="C85" s="139">
        <f>IFERROR(__xludf.DUMMYFUNCTION("""COMPUTED_VALUE"""),3.0)</f>
        <v>3</v>
      </c>
    </row>
    <row r="86">
      <c r="A86" s="139"/>
      <c r="B86" s="139" t="str">
        <f>IFERROR(__xludf.DUMMYFUNCTION("""COMPUTED_VALUE"""),"Strawberry Hill")</f>
        <v>Strawberry Hill</v>
      </c>
      <c r="C86" s="139">
        <f>IFERROR(__xludf.DUMMYFUNCTION("""COMPUTED_VALUE"""),2.0)</f>
        <v>2</v>
      </c>
    </row>
    <row r="87">
      <c r="A87" s="139"/>
      <c r="B87" s="139" t="str">
        <f>IFERROR(__xludf.DUMMYFUNCTION("""COMPUTED_VALUE"""),"Topeka")</f>
        <v>Topeka</v>
      </c>
      <c r="C87" s="139">
        <f>IFERROR(__xludf.DUMMYFUNCTION("""COMPUTED_VALUE"""),3.0)</f>
        <v>3</v>
      </c>
    </row>
    <row r="88">
      <c r="A88" s="139"/>
      <c r="B88" s="139" t="str">
        <f>IFERROR(__xludf.DUMMYFUNCTION("""COMPUTED_VALUE"""),"CHOO CHOO")</f>
        <v>CHOO CHOO</v>
      </c>
      <c r="C88" s="139">
        <f>IFERROR(__xludf.DUMMYFUNCTION("""COMPUTED_VALUE"""),4.0)</f>
        <v>4</v>
      </c>
    </row>
    <row r="89">
      <c r="A89" s="139"/>
      <c r="B89" s="139" t="str">
        <f>IFERROR(__xludf.DUMMYFUNCTION("""COMPUTED_VALUE"""),"Scratch Me")</f>
        <v>Scratch Me</v>
      </c>
      <c r="C89" s="139">
        <f>IFERROR(__xludf.DUMMYFUNCTION("""COMPUTED_VALUE"""),6.0)</f>
        <v>6</v>
      </c>
    </row>
    <row r="90" hidden="1">
      <c r="A90" s="139"/>
      <c r="B90" s="139" t="str">
        <f>IFERROR(__xludf.DUMMYFUNCTION("""COMPUTED_VALUE"""),"Cheyenne Flyway")</f>
        <v>Cheyenne Flyway</v>
      </c>
      <c r="C90" s="139">
        <f>IFERROR(__xludf.DUMMYFUNCTION("""COMPUTED_VALUE"""),7.0)</f>
        <v>7</v>
      </c>
    </row>
    <row r="91">
      <c r="A91" s="139"/>
      <c r="B91" s="139" t="str">
        <f>IFERROR(__xludf.DUMMYFUNCTION("""COMPUTED_VALUE"""),"PT Totals")</f>
        <v>PT Totals</v>
      </c>
      <c r="C91" s="139">
        <f>IFERROR(__xludf.DUMMYFUNCTION("""COMPUTED_VALUE"""),5.0)</f>
        <v>5</v>
      </c>
    </row>
    <row r="92">
      <c r="A92" s="139"/>
      <c r="B92" s="139" t="str">
        <f>IFERROR(__xludf.DUMMYFUNCTION("""COMPUTED_VALUE"""),"Nor Ken Tuck")</f>
        <v>Nor Ken Tuck</v>
      </c>
      <c r="C92" s="139">
        <f>IFERROR(__xludf.DUMMYFUNCTION("""COMPUTED_VALUE"""),2.0)</f>
        <v>2</v>
      </c>
    </row>
    <row r="93">
      <c r="A93" s="139"/>
      <c r="B93" s="139" t="str">
        <f>IFERROR(__xludf.DUMMYFUNCTION("""COMPUTED_VALUE"""),"Ken-Bo ")</f>
        <v>Ken-Bo </v>
      </c>
      <c r="C93" s="139">
        <f>IFERROR(__xludf.DUMMYFUNCTION("""COMPUTED_VALUE"""),6.0)</f>
        <v>6</v>
      </c>
    </row>
    <row r="94">
      <c r="A94" s="139"/>
      <c r="B94" s="139" t="str">
        <f>IFERROR(__xludf.DUMMYFUNCTION("""COMPUTED_VALUE"""),"Nit Pickers  ")</f>
        <v>Nit Pickers  </v>
      </c>
      <c r="C94" s="139">
        <f>IFERROR(__xludf.DUMMYFUNCTION("""COMPUTED_VALUE"""),7.0)</f>
        <v>7</v>
      </c>
    </row>
    <row r="95" hidden="1">
      <c r="A95" s="139"/>
      <c r="B95" s="139" t="str">
        <f>IFERROR(__xludf.DUMMYFUNCTION("""COMPUTED_VALUE"""),"Simpal")</f>
        <v>Simpal</v>
      </c>
      <c r="C95" s="139">
        <f>IFERROR(__xludf.DUMMYFUNCTION("""COMPUTED_VALUE"""),9.0)</f>
        <v>9</v>
      </c>
    </row>
    <row r="96">
      <c r="A96" s="139"/>
      <c r="B96" s="139" t="str">
        <f>IFERROR(__xludf.DUMMYFUNCTION("""COMPUTED_VALUE"""),"PT Totals")</f>
        <v>PT Totals</v>
      </c>
      <c r="C96" s="139">
        <f>IFERROR(__xludf.DUMMYFUNCTION("""COMPUTED_VALUE"""),4.0)</f>
        <v>4</v>
      </c>
    </row>
    <row r="97">
      <c r="A97" s="139"/>
      <c r="B97" s="139" t="str">
        <f>IFERROR(__xludf.DUMMYFUNCTION("""COMPUTED_VALUE"""),"Mud Bugs")</f>
        <v>Mud Bugs</v>
      </c>
      <c r="C97" s="139">
        <f>IFERROR(__xludf.DUMMYFUNCTION("""COMPUTED_VALUE"""),3.0)</f>
        <v>3</v>
      </c>
    </row>
    <row r="98">
      <c r="A98" s="139"/>
      <c r="B98" s="139" t="str">
        <f>IFERROR(__xludf.DUMMYFUNCTION("""COMPUTED_VALUE"""),"Pelicans ")</f>
        <v>Pelicans </v>
      </c>
      <c r="C98" s="139">
        <f>IFERROR(__xludf.DUMMYFUNCTION("""COMPUTED_VALUE"""),6.0)</f>
        <v>6</v>
      </c>
    </row>
    <row r="99" hidden="1">
      <c r="A99" s="139"/>
      <c r="B99" s="139" t="str">
        <f>IFERROR(__xludf.DUMMYFUNCTION("""COMPUTED_VALUE"""),"Lousy 11")</f>
        <v>Lousy 11</v>
      </c>
      <c r="C99" s="139">
        <f>IFERROR(__xludf.DUMMYFUNCTION("""COMPUTED_VALUE"""),11.0)</f>
        <v>11</v>
      </c>
    </row>
    <row r="100">
      <c r="A100" s="139" t="str">
        <f>IFERROR(__xludf.DUMMYFUNCTION("""COMPUTED_VALUE"""),"NEW ")</f>
        <v>NEW </v>
      </c>
      <c r="B100" s="139" t="str">
        <f>IFERROR(__xludf.DUMMYFUNCTION("""COMPUTED_VALUE"""),"Dragoons")</f>
        <v>Dragoons</v>
      </c>
      <c r="C100" s="139">
        <f>IFERROR(__xludf.DUMMYFUNCTION("""COMPUTED_VALUE"""),19.0)</f>
        <v>19</v>
      </c>
    </row>
    <row r="101">
      <c r="A101" s="139"/>
      <c r="B101" s="139" t="str">
        <f>IFERROR(__xludf.DUMMYFUNCTION("""COMPUTED_VALUE"""),"PT Totals")</f>
        <v>PT Totals</v>
      </c>
      <c r="C101" s="139">
        <f>IFERROR(__xludf.DUMMYFUNCTION("""COMPUTED_VALUE"""),4.0)</f>
        <v>4</v>
      </c>
    </row>
    <row r="102">
      <c r="A102" s="139"/>
      <c r="B102" s="139" t="str">
        <f>IFERROR(__xludf.DUMMYFUNCTION("""COMPUTED_VALUE"""),"TNT")</f>
        <v>TNT</v>
      </c>
      <c r="C102" s="139">
        <f>IFERROR(__xludf.DUMMYFUNCTION("""COMPUTED_VALUE"""),1.0)</f>
        <v>1</v>
      </c>
    </row>
    <row r="103">
      <c r="A103" s="139"/>
      <c r="B103" s="139" t="str">
        <f>IFERROR(__xludf.DUMMYFUNCTION("""COMPUTED_VALUE"""),"Block Busters")</f>
        <v>Block Busters</v>
      </c>
      <c r="C103" s="139">
        <f>IFERROR(__xludf.DUMMYFUNCTION("""COMPUTED_VALUE"""),3.0)</f>
        <v>3</v>
      </c>
    </row>
    <row r="104">
      <c r="A104" s="139"/>
      <c r="B104" s="139" t="str">
        <f>IFERROR(__xludf.DUMMYFUNCTION("""COMPUTED_VALUE"""),"D.D.T. Bourque ")</f>
        <v>D.D.T. Bourque </v>
      </c>
      <c r="C104" s="139">
        <f>IFERROR(__xludf.DUMMYFUNCTION("""COMPUTED_VALUE"""),4.0)</f>
        <v>4</v>
      </c>
    </row>
    <row r="105">
      <c r="A105" s="139"/>
      <c r="B105" s="139" t="str">
        <f>IFERROR(__xludf.DUMMYFUNCTION("""COMPUTED_VALUE"""),"Duck-Buck-Guse")</f>
        <v>Duck-Buck-Guse</v>
      </c>
      <c r="C105" s="139">
        <f>IFERROR(__xludf.DUMMYFUNCTION("""COMPUTED_VALUE"""),6.0)</f>
        <v>6</v>
      </c>
    </row>
    <row r="106">
      <c r="A106" s="139"/>
      <c r="B106" s="139" t="str">
        <f>IFERROR(__xludf.DUMMYFUNCTION("""COMPUTED_VALUE"""),"Sy Paw")</f>
        <v>Sy Paw</v>
      </c>
      <c r="C106" s="139">
        <f>IFERROR(__xludf.DUMMYFUNCTION("""COMPUTED_VALUE"""),10.0)</f>
        <v>10</v>
      </c>
    </row>
    <row r="107">
      <c r="A107" s="139"/>
      <c r="B107" s="139" t="str">
        <f>IFERROR(__xludf.DUMMYFUNCTION("""COMPUTED_VALUE"""),"1000 Nits ")</f>
        <v>1000 Nits </v>
      </c>
      <c r="C107" s="139">
        <f>IFERROR(__xludf.DUMMYFUNCTION("""COMPUTED_VALUE"""),16.0)</f>
        <v>16</v>
      </c>
    </row>
    <row r="108" hidden="1">
      <c r="A108" s="139"/>
      <c r="B108" s="139" t="str">
        <f>IFERROR(__xludf.DUMMYFUNCTION("""COMPUTED_VALUE"""),"Rodents")</f>
        <v>Rodents</v>
      </c>
      <c r="C108" s="139">
        <f>IFERROR(__xludf.DUMMYFUNCTION("""COMPUTED_VALUE"""),17.0)</f>
        <v>17</v>
      </c>
    </row>
    <row r="109">
      <c r="A109" s="139"/>
      <c r="B109" s="139" t="str">
        <f>IFERROR(__xludf.DUMMYFUNCTION("""COMPUTED_VALUE"""),"Sho Crabers")</f>
        <v>Sho Crabers</v>
      </c>
      <c r="C109" s="139">
        <f>IFERROR(__xludf.DUMMYFUNCTION("""COMPUTED_VALUE"""),27.0)</f>
        <v>27</v>
      </c>
    </row>
    <row r="110">
      <c r="A110" s="139"/>
      <c r="B110" s="139" t="str">
        <f>IFERROR(__xludf.DUMMYFUNCTION("""COMPUTED_VALUE"""),"PT Totals")</f>
        <v>PT Totals</v>
      </c>
      <c r="C110" s="139">
        <f>IFERROR(__xludf.DUMMYFUNCTION("""COMPUTED_VALUE"""),8.0)</f>
        <v>8</v>
      </c>
    </row>
    <row r="111" hidden="1">
      <c r="A111" s="139"/>
      <c r="B111" s="139" t="str">
        <f>IFERROR(__xludf.DUMMYFUNCTION("""COMPUTED_VALUE"""),"Neponset (New PT Nov 2025)")</f>
        <v>Neponset (New PT Nov 2025)</v>
      </c>
      <c r="C111" s="139">
        <f>IFERROR(__xludf.DUMMYFUNCTION("""COMPUTED_VALUE"""),5.0)</f>
        <v>5</v>
      </c>
    </row>
    <row r="112">
      <c r="A112" s="139"/>
      <c r="B112" s="139" t="str">
        <f>IFERROR(__xludf.DUMMYFUNCTION("""COMPUTED_VALUE"""),"Plymouth Rock ")</f>
        <v>Plymouth Rock </v>
      </c>
      <c r="C112" s="139">
        <f>IFERROR(__xludf.DUMMYFUNCTION("""COMPUTED_VALUE"""),14.0)</f>
        <v>14</v>
      </c>
    </row>
    <row r="113">
      <c r="A113" s="139"/>
      <c r="B113" s="139" t="str">
        <f>IFERROR(__xludf.DUMMYFUNCTION("""COMPUTED_VALUE"""),"PT Totals")</f>
        <v>PT Totals</v>
      </c>
      <c r="C113" s="139">
        <f>IFERROR(__xludf.DUMMYFUNCTION("""COMPUTED_VALUE"""),1.0)</f>
        <v>1</v>
      </c>
    </row>
    <row r="114">
      <c r="A114" s="139"/>
      <c r="B114" s="139" t="str">
        <f>IFERROR(__xludf.DUMMYFUNCTION("""COMPUTED_VALUE"""),"Leaky Beer Hill")</f>
        <v>Leaky Beer Hill</v>
      </c>
      <c r="C114" s="139">
        <f>IFERROR(__xludf.DUMMYFUNCTION("""COMPUTED_VALUE"""),12.0)</f>
        <v>12</v>
      </c>
    </row>
    <row r="115">
      <c r="A115" s="139"/>
      <c r="B115" s="139" t="str">
        <f>IFERROR(__xludf.DUMMYFUNCTION("""COMPUTED_VALUE"""),"Stinky")</f>
        <v>Stinky</v>
      </c>
      <c r="C115" s="139">
        <f>IFERROR(__xludf.DUMMYFUNCTION("""COMPUTED_VALUE"""),14.0)</f>
        <v>14</v>
      </c>
    </row>
    <row r="116">
      <c r="A116" s="139"/>
      <c r="B116" s="139" t="str">
        <f>IFERROR(__xludf.DUMMYFUNCTION("""COMPUTED_VALUE"""),"Wanigas")</f>
        <v>Wanigas</v>
      </c>
      <c r="C116" s="139">
        <f>IFERROR(__xludf.DUMMYFUNCTION("""COMPUTED_VALUE"""),17.0)</f>
        <v>17</v>
      </c>
    </row>
    <row r="117">
      <c r="A117" s="139"/>
      <c r="B117" s="139" t="str">
        <f>IFERROR(__xludf.DUMMYFUNCTION("""COMPUTED_VALUE"""),"Downriver Rats")</f>
        <v>Downriver Rats</v>
      </c>
      <c r="C117" s="139">
        <f>IFERROR(__xludf.DUMMYFUNCTION("""COMPUTED_VALUE"""),18.0)</f>
        <v>18</v>
      </c>
    </row>
    <row r="118">
      <c r="A118" s="139"/>
      <c r="B118" s="139" t="str">
        <f>IFERROR(__xludf.DUMMYFUNCTION("""COMPUTED_VALUE"""),"Gremlin")</f>
        <v>Gremlin</v>
      </c>
      <c r="C118" s="139">
        <f>IFERROR(__xludf.DUMMYFUNCTION("""COMPUTED_VALUE"""),21.0)</f>
        <v>21</v>
      </c>
    </row>
    <row r="119">
      <c r="A119" s="139"/>
      <c r="B119" s="139" t="str">
        <f>IFERROR(__xludf.DUMMYFUNCTION("""COMPUTED_VALUE"""),"Rose Hub")</f>
        <v>Rose Hub</v>
      </c>
      <c r="C119" s="139">
        <f>IFERROR(__xludf.DUMMYFUNCTION("""COMPUTED_VALUE"""),24.0)</f>
        <v>24</v>
      </c>
    </row>
    <row r="120">
      <c r="A120" s="139"/>
      <c r="B120" s="139" t="str">
        <f>IFERROR(__xludf.DUMMYFUNCTION("""COMPUTED_VALUE"""),"Caraboa")</f>
        <v>Caraboa</v>
      </c>
      <c r="C120" s="139">
        <f>IFERROR(__xludf.DUMMYFUNCTION("""COMPUTED_VALUE"""),32.0)</f>
        <v>32</v>
      </c>
    </row>
    <row r="121" hidden="1">
      <c r="A121" s="139"/>
      <c r="B121" s="139" t="str">
        <f>IFERROR(__xludf.DUMMYFUNCTION("""COMPUTED_VALUE"""),"Yardbirds")</f>
        <v>Yardbirds</v>
      </c>
      <c r="C121" s="139">
        <f>IFERROR(__xludf.DUMMYFUNCTION("""COMPUTED_VALUE"""),42.0)</f>
        <v>42</v>
      </c>
    </row>
    <row r="122">
      <c r="A122" s="139"/>
      <c r="B122" s="139" t="str">
        <f>IFERROR(__xludf.DUMMYFUNCTION("""COMPUTED_VALUE"""),"Huron Braves ")</f>
        <v>Huron Braves </v>
      </c>
      <c r="C122" s="139">
        <f>IFERROR(__xludf.DUMMYFUNCTION("""COMPUTED_VALUE"""),96.0)</f>
        <v>96</v>
      </c>
    </row>
    <row r="123">
      <c r="A123" s="139"/>
      <c r="B123" s="139" t="str">
        <f>IFERROR(__xludf.DUMMYFUNCTION("""COMPUTED_VALUE"""),"PT Totals")</f>
        <v>PT Totals</v>
      </c>
      <c r="C123" s="139">
        <f>IFERROR(__xludf.DUMMYFUNCTION("""COMPUTED_VALUE"""),9.0)</f>
        <v>9</v>
      </c>
    </row>
    <row r="124">
      <c r="A124" s="139"/>
      <c r="B124" s="139" t="str">
        <f>IFERROR(__xludf.DUMMYFUNCTION("""COMPUTED_VALUE"""),"Gopher")</f>
        <v>Gopher</v>
      </c>
      <c r="C124" s="139">
        <f>IFERROR(__xludf.DUMMYFUNCTION("""COMPUTED_VALUE"""),2.0)</f>
        <v>2</v>
      </c>
    </row>
    <row r="125">
      <c r="A125" s="139"/>
      <c r="B125" s="139" t="str">
        <f>IFERROR(__xludf.DUMMYFUNCTION("""COMPUTED_VALUE"""),"Flea Circus ")</f>
        <v>Flea Circus </v>
      </c>
      <c r="C125" s="139">
        <f>IFERROR(__xludf.DUMMYFUNCTION("""COMPUTED_VALUE"""),5.0)</f>
        <v>5</v>
      </c>
    </row>
    <row r="126">
      <c r="A126" s="139"/>
      <c r="B126" s="139" t="str">
        <f>IFERROR(__xludf.DUMMYFUNCTION("""COMPUTED_VALUE"""),"Minnetonka")</f>
        <v>Minnetonka</v>
      </c>
      <c r="C126" s="139">
        <f>IFERROR(__xludf.DUMMYFUNCTION("""COMPUTED_VALUE"""),15.0)</f>
        <v>15</v>
      </c>
    </row>
    <row r="127">
      <c r="A127" s="139"/>
      <c r="B127" s="139" t="str">
        <f>IFERROR(__xludf.DUMMYFUNCTION("""COMPUTED_VALUE"""),"Crotch Bunnies ")</f>
        <v>Crotch Bunnies </v>
      </c>
      <c r="C127" s="139">
        <f>IFERROR(__xludf.DUMMYFUNCTION("""COMPUTED_VALUE"""),19.0)</f>
        <v>19</v>
      </c>
    </row>
    <row r="128">
      <c r="A128" s="139"/>
      <c r="B128" s="139" t="str">
        <f>IFERROR(__xludf.DUMMYFUNCTION("""COMPUTED_VALUE"""),"Red River Rats")</f>
        <v>Red River Rats</v>
      </c>
      <c r="C128" s="139">
        <f>IFERROR(__xludf.DUMMYFUNCTION("""COMPUTED_VALUE"""),34.0)</f>
        <v>34</v>
      </c>
    </row>
    <row r="129">
      <c r="A129" s="139"/>
      <c r="B129" s="139" t="str">
        <f>IFERROR(__xludf.DUMMYFUNCTION("""COMPUTED_VALUE"""),"Must Itch")</f>
        <v>Must Itch</v>
      </c>
      <c r="C129" s="139">
        <f>IFERROR(__xludf.DUMMYFUNCTION("""COMPUTED_VALUE"""),42.0)</f>
        <v>42</v>
      </c>
    </row>
    <row r="130">
      <c r="A130" s="139"/>
      <c r="B130" s="139" t="str">
        <f>IFERROR(__xludf.DUMMYFUNCTION("""COMPUTED_VALUE"""),"Yellow Brick Roadies")</f>
        <v>Yellow Brick Roadies</v>
      </c>
      <c r="C130" s="139">
        <f>IFERROR(__xludf.DUMMYFUNCTION("""COMPUTED_VALUE"""),46.0)</f>
        <v>46</v>
      </c>
    </row>
    <row r="131">
      <c r="A131" s="139"/>
      <c r="B131" s="139" t="str">
        <f>IFERROR(__xludf.DUMMYFUNCTION("""COMPUTED_VALUE"""),"Foul Balls ")</f>
        <v>Foul Balls </v>
      </c>
      <c r="C131" s="139">
        <f>IFERROR(__xludf.DUMMYFUNCTION("""COMPUTED_VALUE"""),51.0)</f>
        <v>51</v>
      </c>
    </row>
    <row r="132">
      <c r="A132" s="139"/>
      <c r="B132" s="139" t="str">
        <f>IFERROR(__xludf.DUMMYFUNCTION("""COMPUTED_VALUE"""),"Trash Pandas (New in 2025)")</f>
        <v>Trash Pandas (New in 2025)</v>
      </c>
      <c r="C132" s="139">
        <f>IFERROR(__xludf.DUMMYFUNCTION("""COMPUTED_VALUE"""),60.0)</f>
        <v>60</v>
      </c>
    </row>
    <row r="133">
      <c r="A133" s="139"/>
      <c r="B133" s="139" t="str">
        <f>IFERROR(__xludf.DUMMYFUNCTION("""COMPUTED_VALUE"""),"Crotch Crickets")</f>
        <v>Crotch Crickets</v>
      </c>
      <c r="C133" s="139">
        <f>IFERROR(__xludf.DUMMYFUNCTION("""COMPUTED_VALUE"""),62.0)</f>
        <v>62</v>
      </c>
    </row>
    <row r="134" hidden="1">
      <c r="A134" s="139"/>
      <c r="B134" s="139" t="str">
        <f>IFERROR(__xludf.DUMMYFUNCTION("""COMPUTED_VALUE"""),"Sticktites")</f>
        <v>Sticktites</v>
      </c>
      <c r="C134" s="139">
        <f>IFERROR(__xludf.DUMMYFUNCTION("""COMPUTED_VALUE"""),66.0)</f>
        <v>66</v>
      </c>
    </row>
    <row r="135">
      <c r="A135" s="139"/>
      <c r="B135" s="139" t="str">
        <f>IFERROR(__xludf.DUMMYFUNCTION("""COMPUTED_VALUE"""),"Rum River Rats ")</f>
        <v>Rum River Rats </v>
      </c>
      <c r="C135" s="139">
        <f>IFERROR(__xludf.DUMMYFUNCTION("""COMPUTED_VALUE"""),99.0)</f>
        <v>99</v>
      </c>
    </row>
    <row r="136">
      <c r="A136" s="139"/>
      <c r="B136" s="139" t="str">
        <f>IFERROR(__xludf.DUMMYFUNCTION("""COMPUTED_VALUE"""),"PT Totals")</f>
        <v>PT Totals</v>
      </c>
      <c r="C136" s="139">
        <f>IFERROR(__xludf.DUMMYFUNCTION("""COMPUTED_VALUE"""),12.0)</f>
        <v>12</v>
      </c>
    </row>
    <row r="137">
      <c r="A137" s="139"/>
      <c r="B137" s="139" t="str">
        <f>IFERROR(__xludf.DUMMYFUNCTION("""COMPUTED_VALUE"""),"Pas Da' Goose")</f>
        <v>Pas Da' Goose</v>
      </c>
      <c r="C137" s="139">
        <f>IFERROR(__xludf.DUMMYFUNCTION("""COMPUTED_VALUE"""),1.0)</f>
        <v>1</v>
      </c>
    </row>
    <row r="138">
      <c r="A138" s="139"/>
      <c r="B138" s="139" t="str">
        <f>IFERROR(__xludf.DUMMYFUNCTION("""COMPUTED_VALUE"""),"Cotton Boll ")</f>
        <v>Cotton Boll </v>
      </c>
      <c r="C138" s="139">
        <f>IFERROR(__xludf.DUMMYFUNCTION("""COMPUTED_VALUE"""),6.0)</f>
        <v>6</v>
      </c>
    </row>
    <row r="139">
      <c r="A139" s="139"/>
      <c r="B139" s="139" t="str">
        <f>IFERROR(__xludf.DUMMYFUNCTION("""COMPUTED_VALUE"""),"Hub Bugs  ")</f>
        <v>Hub Bugs  </v>
      </c>
      <c r="C139" s="139">
        <f>IFERROR(__xludf.DUMMYFUNCTION("""COMPUTED_VALUE"""),7.0)</f>
        <v>7</v>
      </c>
    </row>
    <row r="140">
      <c r="A140" s="139"/>
      <c r="B140" s="139" t="str">
        <f>IFERROR(__xludf.DUMMYFUNCTION("""COMPUTED_VALUE"""),"Friendly Possum ")</f>
        <v>Friendly Possum </v>
      </c>
      <c r="C140" s="139">
        <f>IFERROR(__xludf.DUMMYFUNCTION("""COMPUTED_VALUE"""),12.0)</f>
        <v>12</v>
      </c>
    </row>
    <row r="141" hidden="1">
      <c r="A141" s="139"/>
      <c r="B141" s="139" t="str">
        <f>IFERROR(__xludf.DUMMYFUNCTION("""COMPUTED_VALUE"""),"Mullets")</f>
        <v>Mullets</v>
      </c>
      <c r="C141" s="139">
        <f>IFERROR(__xludf.DUMMYFUNCTION("""COMPUTED_VALUE"""),15.0)</f>
        <v>15</v>
      </c>
    </row>
    <row r="142">
      <c r="A142" s="139"/>
      <c r="B142" s="139" t="str">
        <f>IFERROR(__xludf.DUMMYFUNCTION("""COMPUTED_VALUE"""),"Seabees ")</f>
        <v>Seabees </v>
      </c>
      <c r="C142" s="139">
        <f>IFERROR(__xludf.DUMMYFUNCTION("""COMPUTED_VALUE"""),17.0)</f>
        <v>17</v>
      </c>
    </row>
    <row r="143">
      <c r="A143" s="139"/>
      <c r="B143" s="139" t="str">
        <f>IFERROR(__xludf.DUMMYFUNCTION("""COMPUTED_VALUE"""),"PT Totals")</f>
        <v>PT Totals</v>
      </c>
      <c r="C143" s="139">
        <f>IFERROR(__xludf.DUMMYFUNCTION("""COMPUTED_VALUE"""),6.0)</f>
        <v>6</v>
      </c>
    </row>
    <row r="144">
      <c r="A144" s="139"/>
      <c r="B144" s="139" t="str">
        <f>IFERROR(__xludf.DUMMYFUNCTION("""COMPUTED_VALUE"""),"Heart of America-1")</f>
        <v>Heart of America-1</v>
      </c>
      <c r="C144" s="139">
        <f>IFERROR(__xludf.DUMMYFUNCTION("""COMPUTED_VALUE"""),1.0)</f>
        <v>1</v>
      </c>
    </row>
    <row r="145">
      <c r="A145" s="139"/>
      <c r="B145" s="139" t="str">
        <f>IFERROR(__xludf.DUMMYFUNCTION("""COMPUTED_VALUE"""),"Mid Mo Vagabonds-2")</f>
        <v>Mid Mo Vagabonds-2</v>
      </c>
      <c r="C145" s="139">
        <f>IFERROR(__xludf.DUMMYFUNCTION("""COMPUTED_VALUE"""),2.0)</f>
        <v>2</v>
      </c>
    </row>
    <row r="146">
      <c r="A146" s="139"/>
      <c r="B146" s="139" t="str">
        <f>IFERROR(__xludf.DUMMYFUNCTION("""COMPUTED_VALUE"""),"Running Bare  -5")</f>
        <v>Running Bare  -5</v>
      </c>
      <c r="C146" s="139">
        <f>IFERROR(__xludf.DUMMYFUNCTION("""COMPUTED_VALUE"""),5.0)</f>
        <v>5</v>
      </c>
    </row>
    <row r="147">
      <c r="A147" s="139"/>
      <c r="B147" s="139" t="str">
        <f>IFERROR(__xludf.DUMMYFUNCTION("""COMPUTED_VALUE"""),"Justaskus
-12")</f>
        <v>Justaskus
-12</v>
      </c>
      <c r="C147" s="139">
        <f>IFERROR(__xludf.DUMMYFUNCTION("""COMPUTED_VALUE"""),12.0)</f>
        <v>12</v>
      </c>
    </row>
    <row r="148">
      <c r="A148" s="139"/>
      <c r="B148" s="139" t="str">
        <f>IFERROR(__xludf.DUMMYFUNCTION("""COMPUTED_VALUE"""),"DDT-14")</f>
        <v>DDT-14</v>
      </c>
      <c r="C148" s="139">
        <f>IFERROR(__xludf.DUMMYFUNCTION("""COMPUTED_VALUE"""),14.0)</f>
        <v>14</v>
      </c>
    </row>
    <row r="149">
      <c r="A149" s="139"/>
      <c r="B149" s="139" t="str">
        <f>IFERROR(__xludf.DUMMYFUNCTION("""COMPUTED_VALUE"""),"Semo Swampers -15")</f>
        <v>Semo Swampers -15</v>
      </c>
      <c r="C149" s="139">
        <f>IFERROR(__xludf.DUMMYFUNCTION("""COMPUTED_VALUE"""),15.0)</f>
        <v>15</v>
      </c>
    </row>
    <row r="150" hidden="1">
      <c r="A150" s="139"/>
      <c r="B150" s="139" t="str">
        <f>IFERROR(__xludf.DUMMYFUNCTION("""COMPUTED_VALUE"""),"Tous Ensemble-17")</f>
        <v>Tous Ensemble-17</v>
      </c>
      <c r="C150" s="139">
        <f>IFERROR(__xludf.DUMMYFUNCTION("""COMPUTED_VALUE"""),17.0)</f>
        <v>17</v>
      </c>
    </row>
    <row r="151">
      <c r="A151" s="139"/>
      <c r="B151" s="139" t="str">
        <f>IFERROR(__xludf.DUMMYFUNCTION("""COMPUTED_VALUE"""),"Grape Nuts-56")</f>
        <v>Grape Nuts-56</v>
      </c>
      <c r="C151" s="139">
        <f>IFERROR(__xludf.DUMMYFUNCTION("""COMPUTED_VALUE"""),56.0)</f>
        <v>56</v>
      </c>
    </row>
    <row r="152" hidden="1">
      <c r="A152" s="139"/>
      <c r="B152" s="139" t="str">
        <f>IFERROR(__xludf.DUMMYFUNCTION("""COMPUTED_VALUE"""),"PT Totals")</f>
        <v>PT Totals</v>
      </c>
      <c r="C152" s="139">
        <f>IFERROR(__xludf.DUMMYFUNCTION("""COMPUTED_VALUE"""),8.0)</f>
        <v>8</v>
      </c>
    </row>
    <row r="153">
      <c r="A153" s="139"/>
      <c r="B153" s="139" t="str">
        <f>IFERROR(__xludf.DUMMYFUNCTION("""COMPUTED_VALUE"""),"Sleeping Giant ")</f>
        <v>Sleeping Giant </v>
      </c>
      <c r="C153" s="139">
        <f>IFERROR(__xludf.DUMMYFUNCTION("""COMPUTED_VALUE"""),10.0)</f>
        <v>10</v>
      </c>
    </row>
    <row r="154">
      <c r="A154" s="139"/>
      <c r="B154" s="139" t="str">
        <f>IFERROR(__xludf.DUMMYFUNCTION("""COMPUTED_VALUE"""),"PT Totals")</f>
        <v>PT Totals</v>
      </c>
      <c r="C154" s="139">
        <f>IFERROR(__xludf.DUMMYFUNCTION("""COMPUTED_VALUE"""),1.0)</f>
        <v>1</v>
      </c>
    </row>
    <row r="155">
      <c r="A155" s="139"/>
      <c r="B155" s="139" t="str">
        <f>IFERROR(__xludf.DUMMYFUNCTION("""COMPUTED_VALUE"""),"Chuck Hole")</f>
        <v>Chuck Hole</v>
      </c>
      <c r="C155" s="139">
        <f>IFERROR(__xludf.DUMMYFUNCTION("""COMPUTED_VALUE"""),4.0)</f>
        <v>4</v>
      </c>
    </row>
    <row r="156" hidden="1">
      <c r="A156" s="139"/>
      <c r="B156" s="139" t="str">
        <f>IFERROR(__xludf.DUMMYFUNCTION("""COMPUTED_VALUE"""),"Wild Bill Cody ")</f>
        <v>Wild Bill Cody </v>
      </c>
      <c r="C156" s="139">
        <f>IFERROR(__xludf.DUMMYFUNCTION("""COMPUTED_VALUE"""),7.0)</f>
        <v>7</v>
      </c>
    </row>
    <row r="157">
      <c r="A157" s="139"/>
      <c r="B157" s="139" t="str">
        <f>IFERROR(__xludf.DUMMYFUNCTION("""COMPUTED_VALUE"""),"Bugeaters")</f>
        <v>Bugeaters</v>
      </c>
      <c r="C157" s="139">
        <f>IFERROR(__xludf.DUMMYFUNCTION("""COMPUTED_VALUE"""),10.0)</f>
        <v>10</v>
      </c>
    </row>
    <row r="158" hidden="1">
      <c r="A158" s="139"/>
      <c r="B158" s="139" t="str">
        <f>IFERROR(__xludf.DUMMYFUNCTION("""COMPUTED_VALUE"""),"PT Totals")</f>
        <v>PT Totals</v>
      </c>
      <c r="C158" s="139">
        <f>IFERROR(__xludf.DUMMYFUNCTION("""COMPUTED_VALUE"""),4.0)</f>
        <v>4</v>
      </c>
    </row>
    <row r="159">
      <c r="A159" s="139"/>
      <c r="B159" s="139" t="str">
        <f>IFERROR(__xludf.DUMMYFUNCTION("""COMPUTED_VALUE"""),"Snake Eyes")</f>
        <v>Snake Eyes</v>
      </c>
      <c r="C159" s="139">
        <f>IFERROR(__xludf.DUMMYFUNCTION("""COMPUTED_VALUE"""),2.0)</f>
        <v>2</v>
      </c>
    </row>
    <row r="160">
      <c r="A160" s="139"/>
      <c r="B160" s="139" t="str">
        <f>IFERROR(__xludf.DUMMYFUNCTION("""COMPUTED_VALUE"""),"PT Totals")</f>
        <v>PT Totals</v>
      </c>
      <c r="C160" s="139"/>
    </row>
    <row r="161" hidden="1">
      <c r="A161" s="139"/>
      <c r="B161" s="139" t="str">
        <f>IFERROR(__xludf.DUMMYFUNCTION("""COMPUTED_VALUE"""),"Old Man Mountain ")</f>
        <v>Old Man Mountain </v>
      </c>
      <c r="C161" s="139">
        <f>IFERROR(__xludf.DUMMYFUNCTION("""COMPUTED_VALUE"""),1.0)</f>
        <v>1</v>
      </c>
    </row>
    <row r="162">
      <c r="A162" s="139"/>
      <c r="B162" s="139" t="str">
        <f>IFERROR(__xludf.DUMMYFUNCTION("""COMPUTED_VALUE"""),"Week - Enders")</f>
        <v>Week - Enders</v>
      </c>
      <c r="C162" s="139">
        <f>IFERROR(__xludf.DUMMYFUNCTION("""COMPUTED_VALUE"""),3.0)</f>
        <v>3</v>
      </c>
    </row>
    <row r="163">
      <c r="A163" s="139"/>
      <c r="B163" s="139" t="str">
        <f>IFERROR(__xludf.DUMMYFUNCTION("""COMPUTED_VALUE"""),"PT Totals")</f>
        <v>PT Totals</v>
      </c>
      <c r="C163" s="139">
        <f>IFERROR(__xludf.DUMMYFUNCTION("""COMPUTED_VALUE"""),2.0)</f>
        <v>2</v>
      </c>
    </row>
    <row r="164">
      <c r="A164" s="139"/>
      <c r="B164" s="139" t="str">
        <f>IFERROR(__xludf.DUMMYFUNCTION("""COMPUTED_VALUE"""),"P.O.W.")</f>
        <v>P.O.W.</v>
      </c>
      <c r="C164" s="139">
        <f>IFERROR(__xludf.DUMMYFUNCTION("""COMPUTED_VALUE"""),7.0)</f>
        <v>7</v>
      </c>
    </row>
    <row r="165">
      <c r="A165" s="139"/>
      <c r="B165" s="139" t="str">
        <f>IFERROR(__xludf.DUMMYFUNCTION("""COMPUTED_VALUE"""),"Jockey Hollow")</f>
        <v>Jockey Hollow</v>
      </c>
      <c r="C165" s="139">
        <f>IFERROR(__xludf.DUMMYFUNCTION("""COMPUTED_VALUE"""),15.0)</f>
        <v>15</v>
      </c>
    </row>
    <row r="166" hidden="1">
      <c r="A166" s="139"/>
      <c r="B166" s="139" t="str">
        <f>IFERROR(__xludf.DUMMYFUNCTION("""COMPUTED_VALUE"""),"Pee - 38")</f>
        <v>Pee - 38</v>
      </c>
      <c r="C166" s="139">
        <f>IFERROR(__xludf.DUMMYFUNCTION("""COMPUTED_VALUE"""),38.0)</f>
        <v>38</v>
      </c>
    </row>
    <row r="167">
      <c r="A167" s="139"/>
      <c r="B167" s="139" t="str">
        <f>IFERROR(__xludf.DUMMYFUNCTION("""COMPUTED_VALUE"""),"Sewer Rats ")</f>
        <v>Sewer Rats </v>
      </c>
      <c r="C167" s="139">
        <f>IFERROR(__xludf.DUMMYFUNCTION("""COMPUTED_VALUE"""),41.0)</f>
        <v>41</v>
      </c>
    </row>
    <row r="168">
      <c r="A168" s="139"/>
      <c r="B168" s="139" t="str">
        <f>IFERROR(__xludf.DUMMYFUNCTION("""COMPUTED_VALUE"""),"PT Totals")</f>
        <v>PT Totals</v>
      </c>
      <c r="C168" s="139">
        <f>IFERROR(__xludf.DUMMYFUNCTION("""COMPUTED_VALUE"""),4.0)</f>
        <v>4</v>
      </c>
    </row>
    <row r="169">
      <c r="A169" s="139"/>
      <c r="B169" s="139" t="str">
        <f>IFERROR(__xludf.DUMMYFUNCTION("""COMPUTED_VALUE"""),"A.H.O.")</f>
        <v>A.H.O.</v>
      </c>
      <c r="C169" s="139">
        <f>IFERROR(__xludf.DUMMYFUNCTION("""COMPUTED_VALUE"""),5.0)</f>
        <v>5</v>
      </c>
    </row>
    <row r="170">
      <c r="A170" s="139"/>
      <c r="B170" s="139" t="str">
        <f>IFERROR(__xludf.DUMMYFUNCTION("""COMPUTED_VALUE"""),"Loco  ")</f>
        <v>Loco  </v>
      </c>
      <c r="C170" s="139">
        <f>IFERROR(__xludf.DUMMYFUNCTION("""COMPUTED_VALUE"""),7.0)</f>
        <v>7</v>
      </c>
    </row>
    <row r="171" hidden="1">
      <c r="A171" s="139"/>
      <c r="B171" s="139" t="str">
        <f>IFERROR(__xludf.DUMMYFUNCTION("""COMPUTED_VALUE"""),"MT K.I.A.M.I.A. ")</f>
        <v>MT K.I.A.M.I.A. </v>
      </c>
      <c r="C171" s="139">
        <f>IFERROR(__xludf.DUMMYFUNCTION("""COMPUTED_VALUE"""),14.0)</f>
        <v>14</v>
      </c>
    </row>
    <row r="172">
      <c r="A172" s="139"/>
      <c r="B172" s="139" t="str">
        <f>IFERROR(__xludf.DUMMYFUNCTION("""COMPUTED_VALUE"""),"itchin'n'bitchin'")</f>
        <v>itchin'n'bitchin'</v>
      </c>
      <c r="C172" s="139">
        <f>IFERROR(__xludf.DUMMYFUNCTION("""COMPUTED_VALUE"""),19.0)</f>
        <v>19</v>
      </c>
    </row>
    <row r="173">
      <c r="A173" s="139"/>
      <c r="B173" s="139" t="str">
        <f>IFERROR(__xludf.DUMMYFUNCTION("""COMPUTED_VALUE"""),"PT Totals")</f>
        <v>PT Totals</v>
      </c>
      <c r="C173" s="139">
        <f>IFERROR(__xludf.DUMMYFUNCTION("""COMPUTED_VALUE"""),4.0)</f>
        <v>4</v>
      </c>
    </row>
    <row r="174">
      <c r="A174" s="139"/>
      <c r="B174" s="139" t="str">
        <f>IFERROR(__xludf.DUMMYFUNCTION("""COMPUTED_VALUE"""),"Wild Bunch ")</f>
        <v>Wild Bunch </v>
      </c>
      <c r="C174" s="139">
        <f>IFERROR(__xludf.DUMMYFUNCTION("""COMPUTED_VALUE"""),2.0)</f>
        <v>2</v>
      </c>
    </row>
    <row r="175">
      <c r="A175" s="139"/>
      <c r="B175" s="139" t="str">
        <f>IFERROR(__xludf.DUMMYFUNCTION("""COMPUTED_VALUE"""),"Great Swampers")</f>
        <v>Great Swampers</v>
      </c>
      <c r="C175" s="140">
        <f>IFERROR(__xludf.DUMMYFUNCTION("""COMPUTED_VALUE"""),9.75)</f>
        <v>9.75</v>
      </c>
    </row>
    <row r="176">
      <c r="A176" s="139"/>
      <c r="B176" s="139" t="str">
        <f>IFERROR(__xludf.DUMMYFUNCTION("""COMPUTED_VALUE"""),"Plankers  ")</f>
        <v>Plankers  </v>
      </c>
      <c r="C176" s="139">
        <f>IFERROR(__xludf.DUMMYFUNCTION("""COMPUTED_VALUE"""),32.0)</f>
        <v>32</v>
      </c>
    </row>
    <row r="177">
      <c r="A177" s="139"/>
      <c r="B177" s="139" t="str">
        <f>IFERROR(__xludf.DUMMYFUNCTION("""COMPUTED_VALUE"""),"Back Biters")</f>
        <v>Back Biters</v>
      </c>
      <c r="C177" s="139">
        <f>IFERROR(__xludf.DUMMYFUNCTION("""COMPUTED_VALUE"""),42.0)</f>
        <v>42</v>
      </c>
    </row>
    <row r="178">
      <c r="A178" s="139"/>
      <c r="B178" s="139" t="str">
        <f>IFERROR(__xludf.DUMMYFUNCTION("""COMPUTED_VALUE"""),"Crape Hangers")</f>
        <v>Crape Hangers</v>
      </c>
      <c r="C178" s="139">
        <f>IFERROR(__xludf.DUMMYFUNCTION("""COMPUTED_VALUE"""),54.0)</f>
        <v>54</v>
      </c>
    </row>
    <row r="179" hidden="1">
      <c r="A179" s="139"/>
      <c r="B179" s="139" t="str">
        <f>IFERROR(__xludf.DUMMYFUNCTION("""COMPUTED_VALUE"""),"Clam Diggers ")</f>
        <v>Clam Diggers </v>
      </c>
      <c r="C179" s="139">
        <f>IFERROR(__xludf.DUMMYFUNCTION("""COMPUTED_VALUE"""),65.0)</f>
        <v>65</v>
      </c>
    </row>
    <row r="180">
      <c r="A180" s="139"/>
      <c r="B180" s="139" t="str">
        <f>IFERROR(__xludf.DUMMYFUNCTION("""COMPUTED_VALUE"""),"Uassan")</f>
        <v>Uassan</v>
      </c>
      <c r="C180" s="139">
        <f>IFERROR(__xludf.DUMMYFUNCTION("""COMPUTED_VALUE"""),69.0)</f>
        <v>69</v>
      </c>
    </row>
    <row r="181">
      <c r="A181" s="139"/>
      <c r="B181" s="139" t="str">
        <f>IFERROR(__xludf.DUMMYFUNCTION("""COMPUTED_VALUE"""),"PT Totals")</f>
        <v>PT Totals</v>
      </c>
      <c r="C181" s="139">
        <f>IFERROR(__xludf.DUMMYFUNCTION("""COMPUTED_VALUE"""),7.0)</f>
        <v>7</v>
      </c>
    </row>
    <row r="182">
      <c r="A182" s="139"/>
      <c r="B182" s="139" t="str">
        <f>IFERROR(__xludf.DUMMYFUNCTION("""COMPUTED_VALUE"""),"Swamp Rats")</f>
        <v>Swamp Rats</v>
      </c>
      <c r="C182" s="139">
        <f>IFERROR(__xludf.DUMMYFUNCTION("""COMPUTED_VALUE"""),1.0)</f>
        <v>1</v>
      </c>
    </row>
    <row r="183">
      <c r="A183" s="139"/>
      <c r="B183" s="139" t="str">
        <f>IFERROR(__xludf.DUMMYFUNCTION("""COMPUTED_VALUE"""),"Mixed Breed  ")</f>
        <v>Mixed Breed  </v>
      </c>
      <c r="C183" s="139">
        <f>IFERROR(__xludf.DUMMYFUNCTION("""COMPUTED_VALUE"""),2.0)</f>
        <v>2</v>
      </c>
    </row>
    <row r="184">
      <c r="A184" s="139"/>
      <c r="B184" s="139" t="str">
        <f>IFERROR(__xludf.DUMMYFUNCTION("""COMPUTED_VALUE"""),"Creek Crawlers")</f>
        <v>Creek Crawlers</v>
      </c>
      <c r="C184" s="139">
        <f>IFERROR(__xludf.DUMMYFUNCTION("""COMPUTED_VALUE"""),3.0)</f>
        <v>3</v>
      </c>
    </row>
    <row r="185">
      <c r="A185" s="139"/>
      <c r="B185" s="139" t="str">
        <f>IFERROR(__xludf.DUMMYFUNCTION("""COMPUTED_VALUE"""),"Sprung Leak")</f>
        <v>Sprung Leak</v>
      </c>
      <c r="C185" s="139">
        <f>IFERROR(__xludf.DUMMYFUNCTION("""COMPUTED_VALUE"""),8.0)</f>
        <v>8</v>
      </c>
    </row>
    <row r="186">
      <c r="A186" s="139"/>
      <c r="B186" s="139" t="str">
        <f>IFERROR(__xludf.DUMMYFUNCTION("""COMPUTED_VALUE"""),"Hog Heads")</f>
        <v>Hog Heads</v>
      </c>
      <c r="C186" s="139">
        <f>IFERROR(__xludf.DUMMYFUNCTION("""COMPUTED_VALUE"""),11.0)</f>
        <v>11</v>
      </c>
    </row>
    <row r="187">
      <c r="A187" s="139" t="str">
        <f>IFERROR(__xludf.DUMMYFUNCTION("""COMPUTED_VALUE"""),"DEFUNCT 17 FEB 2026")</f>
        <v>DEFUNCT 17 FEB 2026</v>
      </c>
      <c r="B187" s="139" t="str">
        <f>IFERROR(__xludf.DUMMYFUNCTION("""COMPUTED_VALUE"""),"Goonie Birds")</f>
        <v>Goonie Birds</v>
      </c>
      <c r="C187" s="139">
        <f>IFERROR(__xludf.DUMMYFUNCTION("""COMPUTED_VALUE"""),17.0)</f>
        <v>17</v>
      </c>
    </row>
    <row r="188">
      <c r="A188" s="139"/>
      <c r="B188" s="139" t="str">
        <f>IFERROR(__xludf.DUMMYFUNCTION("""COMPUTED_VALUE"""),"La Fayette Nits")</f>
        <v>La Fayette Nits</v>
      </c>
      <c r="C188" s="139">
        <f>IFERROR(__xludf.DUMMYFUNCTION("""COMPUTED_VALUE"""),24.0)</f>
        <v>24</v>
      </c>
    </row>
    <row r="189">
      <c r="A189" s="139"/>
      <c r="B189" s="139" t="str">
        <f>IFERROR(__xludf.DUMMYFUNCTION("""COMPUTED_VALUE"""),"Hickory Nuts")</f>
        <v>Hickory Nuts</v>
      </c>
      <c r="C189" s="139">
        <f>IFERROR(__xludf.DUMMYFUNCTION("""COMPUTED_VALUE"""),57.0)</f>
        <v>57</v>
      </c>
    </row>
    <row r="190">
      <c r="A190" s="139"/>
      <c r="B190" s="139" t="str">
        <f>IFERROR(__xludf.DUMMYFUNCTION("""COMPUTED_VALUE"""),"Head Hunters")</f>
        <v>Head Hunters</v>
      </c>
      <c r="C190" s="139">
        <f>IFERROR(__xludf.DUMMYFUNCTION("""COMPUTED_VALUE"""),78.0)</f>
        <v>78</v>
      </c>
    </row>
    <row r="191" hidden="1">
      <c r="A191" s="139"/>
      <c r="B191" s="139" t="str">
        <f>IFERROR(__xludf.DUMMYFUNCTION("""COMPUTED_VALUE"""),"Tarheels")</f>
        <v>Tarheels</v>
      </c>
      <c r="C191" s="139">
        <f>IFERROR(__xludf.DUMMYFUNCTION("""COMPUTED_VALUE"""),89.0)</f>
        <v>89</v>
      </c>
    </row>
    <row r="192">
      <c r="A192" s="139"/>
      <c r="B192" s="139" t="str">
        <f>IFERROR(__xludf.DUMMYFUNCTION("""COMPUTED_VALUE"""),"Plankwalkers")</f>
        <v>Plankwalkers</v>
      </c>
      <c r="C192" s="139">
        <f>IFERROR(__xludf.DUMMYFUNCTION("""COMPUTED_VALUE"""),254.0)</f>
        <v>254</v>
      </c>
    </row>
    <row r="193">
      <c r="A193" s="139"/>
      <c r="B193" s="139" t="str">
        <f>IFERROR(__xludf.DUMMYFUNCTION("""COMPUTED_VALUE"""),"PT Totals")</f>
        <v>PT Totals</v>
      </c>
      <c r="C193" s="139">
        <f>IFERROR(__xludf.DUMMYFUNCTION("""COMPUTED_VALUE"""),11.0)</f>
        <v>11</v>
      </c>
    </row>
    <row r="194">
      <c r="A194" s="139"/>
      <c r="B194" s="139" t="str">
        <f>IFERROR(__xludf.DUMMYFUNCTION("""COMPUTED_VALUE"""),"Bismarck - Mandan ")</f>
        <v>Bismarck - Mandan </v>
      </c>
      <c r="C194" s="139">
        <f>IFERROR(__xludf.DUMMYFUNCTION("""COMPUTED_VALUE"""),2.0)</f>
        <v>2</v>
      </c>
    </row>
    <row r="195">
      <c r="A195" s="139"/>
      <c r="B195" s="139" t="str">
        <f>IFERROR(__xludf.DUMMYFUNCTION("""COMPUTED_VALUE"""),"Edwin W. Jahr  ")</f>
        <v>Edwin W. Jahr  </v>
      </c>
      <c r="C195" s="139">
        <f>IFERROR(__xludf.DUMMYFUNCTION("""COMPUTED_VALUE"""),6.0)</f>
        <v>6</v>
      </c>
    </row>
    <row r="196">
      <c r="A196" s="139"/>
      <c r="B196" s="139" t="str">
        <f>IFERROR(__xludf.DUMMYFUNCTION("""COMPUTED_VALUE"""),"Bakken Sand Fleas")</f>
        <v>Bakken Sand Fleas</v>
      </c>
      <c r="C196" s="139">
        <f>IFERROR(__xludf.DUMMYFUNCTION("""COMPUTED_VALUE"""),7.0)</f>
        <v>7</v>
      </c>
    </row>
    <row r="197">
      <c r="A197" s="139"/>
      <c r="B197" s="139" t="str">
        <f>IFERROR(__xludf.DUMMYFUNCTION("""COMPUTED_VALUE"""),"Pack Rats")</f>
        <v>Pack Rats</v>
      </c>
      <c r="C197" s="139">
        <f>IFERROR(__xludf.DUMMYFUNCTION("""COMPUTED_VALUE"""),8.0)</f>
        <v>8</v>
      </c>
    </row>
    <row r="198" hidden="1">
      <c r="A198" s="139"/>
      <c r="B198" s="139" t="str">
        <f>IFERROR(__xludf.DUMMYFUNCTION("""COMPUTED_VALUE"""),"Red River Spud Bugs")</f>
        <v>Red River Spud Bugs</v>
      </c>
      <c r="C198" s="139">
        <f>IFERROR(__xludf.DUMMYFUNCTION("""COMPUTED_VALUE"""),10.0)</f>
        <v>10</v>
      </c>
    </row>
    <row r="199">
      <c r="A199" s="139"/>
      <c r="B199" s="139" t="str">
        <f>IFERROR(__xludf.DUMMYFUNCTION("""COMPUTED_VALUE"""),"Why-Not-Minot  ")</f>
        <v>Why-Not-Minot  </v>
      </c>
      <c r="C199" s="139">
        <f>IFERROR(__xludf.DUMMYFUNCTION("""COMPUTED_VALUE"""),12.0)</f>
        <v>12</v>
      </c>
    </row>
    <row r="200">
      <c r="A200" s="139"/>
      <c r="B200" s="139" t="str">
        <f>IFERROR(__xludf.DUMMYFUNCTION("""COMPUTED_VALUE"""),"PT Totals")</f>
        <v>PT Totals</v>
      </c>
      <c r="C200" s="139">
        <f>IFERROR(__xludf.DUMMYFUNCTION("""COMPUTED_VALUE"""),6.0)</f>
        <v>6</v>
      </c>
    </row>
    <row r="201">
      <c r="A201" s="139"/>
      <c r="B201" s="139" t="str">
        <f>IFERROR(__xludf.DUMMYFUNCTION("""COMPUTED_VALUE"""),"Vin Rouge")</f>
        <v>Vin Rouge</v>
      </c>
      <c r="C201" s="139">
        <f>IFERROR(__xludf.DUMMYFUNCTION("""COMPUTED_VALUE"""),1.0)</f>
        <v>1</v>
      </c>
    </row>
    <row r="202">
      <c r="A202" s="139"/>
      <c r="B202" s="139" t="str">
        <f>IFERROR(__xludf.DUMMYFUNCTION("""COMPUTED_VALUE"""),"Vin None")</f>
        <v>Vin None</v>
      </c>
      <c r="C202" s="139">
        <f>IFERROR(__xludf.DUMMYFUNCTION("""COMPUTED_VALUE"""),5.0)</f>
        <v>5</v>
      </c>
    </row>
    <row r="203">
      <c r="A203" s="139"/>
      <c r="B203" s="139" t="str">
        <f>IFERROR(__xludf.DUMMYFUNCTION("""COMPUTED_VALUE"""),"Vin Ordinaire")</f>
        <v>Vin Ordinaire</v>
      </c>
      <c r="C203" s="139">
        <f>IFERROR(__xludf.DUMMYFUNCTION("""COMPUTED_VALUE"""),16.0)</f>
        <v>16</v>
      </c>
    </row>
    <row r="204">
      <c r="A204" s="139"/>
      <c r="B204" s="139" t="str">
        <f>IFERROR(__xludf.DUMMYFUNCTION("""COMPUTED_VALUE"""),"Vin Oui Oui")</f>
        <v>Vin Oui Oui</v>
      </c>
      <c r="C204" s="139">
        <f>IFERROR(__xludf.DUMMYFUNCTION("""COMPUTED_VALUE"""),18.0)</f>
        <v>18</v>
      </c>
    </row>
    <row r="205">
      <c r="A205" s="139"/>
      <c r="B205" s="139" t="str">
        <f>IFERROR(__xludf.DUMMYFUNCTION("""COMPUTED_VALUE"""),"Vin Maggies Drawers  ")</f>
        <v>Vin Maggies Drawers  </v>
      </c>
      <c r="C205" s="139">
        <f>IFERROR(__xludf.DUMMYFUNCTION("""COMPUTED_VALUE"""),24.0)</f>
        <v>24</v>
      </c>
    </row>
    <row r="206">
      <c r="A206" s="139"/>
      <c r="B206" s="139" t="str">
        <f>IFERROR(__xludf.DUMMYFUNCTION("""COMPUTED_VALUE"""),"Vin Grape Poppers")</f>
        <v>Vin Grape Poppers</v>
      </c>
      <c r="C206" s="139">
        <f>IFERROR(__xludf.DUMMYFUNCTION("""COMPUTED_VALUE"""),45.0)</f>
        <v>45</v>
      </c>
    </row>
    <row r="207">
      <c r="A207" s="139"/>
      <c r="B207" s="139" t="str">
        <f>IFERROR(__xludf.DUMMYFUNCTION("""COMPUTED_VALUE"""),"Vin Saki")</f>
        <v>Vin Saki</v>
      </c>
      <c r="C207" s="139">
        <f>IFERROR(__xludf.DUMMYFUNCTION("""COMPUTED_VALUE"""),68.0)</f>
        <v>68</v>
      </c>
    </row>
    <row r="208">
      <c r="A208" s="139"/>
      <c r="B208" s="139" t="str">
        <f>IFERROR(__xludf.DUMMYFUNCTION("""COMPUTED_VALUE"""),"Vin Twas MJM")</f>
        <v>Vin Twas MJM</v>
      </c>
      <c r="C208" s="139">
        <f>IFERROR(__xludf.DUMMYFUNCTION("""COMPUTED_VALUE"""),83.0)</f>
        <v>83</v>
      </c>
    </row>
    <row r="209" hidden="1">
      <c r="A209" s="139"/>
      <c r="B209" s="139" t="str">
        <f>IFERROR(__xludf.DUMMYFUNCTION("""COMPUTED_VALUE"""),"VIN Corry")</f>
        <v>VIN Corry</v>
      </c>
      <c r="C209" s="139">
        <f>IFERROR(__xludf.DUMMYFUNCTION("""COMPUTED_VALUE"""),86.0)</f>
        <v>86</v>
      </c>
    </row>
    <row r="210">
      <c r="A210" s="139"/>
      <c r="B210" s="139" t="str">
        <f>IFERROR(__xludf.DUMMYFUNCTION("""COMPUTED_VALUE"""),"Vin Coho")</f>
        <v>Vin Coho</v>
      </c>
      <c r="C210" s="139">
        <f>IFERROR(__xludf.DUMMYFUNCTION("""COMPUTED_VALUE"""),92.0)</f>
        <v>92</v>
      </c>
    </row>
    <row r="211">
      <c r="A211" s="139"/>
      <c r="B211" s="139" t="str">
        <f>IFERROR(__xludf.DUMMYFUNCTION("""COMPUTED_VALUE"""),"PT Totals")</f>
        <v>PT Totals</v>
      </c>
      <c r="C211" s="139">
        <f>IFERROR(__xludf.DUMMYFUNCTION("""COMPUTED_VALUE"""),10.0)</f>
        <v>10</v>
      </c>
    </row>
    <row r="212">
      <c r="A212" s="139"/>
      <c r="B212" s="139" t="str">
        <f>IFERROR(__xludf.DUMMYFUNCTION("""COMPUTED_VALUE"""),"Seam Traveler")</f>
        <v>Seam Traveler</v>
      </c>
      <c r="C212" s="139">
        <f>IFERROR(__xludf.DUMMYFUNCTION("""COMPUTED_VALUE"""),1.0)</f>
        <v>1</v>
      </c>
    </row>
    <row r="213">
      <c r="A213" s="139"/>
      <c r="B213" s="139" t="str">
        <f>IFERROR(__xludf.DUMMYFUNCTION("""COMPUTED_VALUE"""),"Sgoyi Ti:na")</f>
        <v>Sgoyi Ti:na</v>
      </c>
      <c r="C213" s="139">
        <f>IFERROR(__xludf.DUMMYFUNCTION("""COMPUTED_VALUE"""),2.0)</f>
        <v>2</v>
      </c>
    </row>
    <row r="214">
      <c r="A214" s="139"/>
      <c r="B214" s="139" t="str">
        <f>IFERROR(__xludf.DUMMYFUNCTION("""COMPUTED_VALUE"""),"Lazy Bug")</f>
        <v>Lazy Bug</v>
      </c>
      <c r="C214" s="139">
        <f>IFERROR(__xludf.DUMMYFUNCTION("""COMPUTED_VALUE"""),4.0)</f>
        <v>4</v>
      </c>
    </row>
    <row r="215">
      <c r="A215" s="139"/>
      <c r="B215" s="139" t="str">
        <f>IFERROR(__xludf.DUMMYFUNCTION("""COMPUTED_VALUE"""),"6th ST. Bug Mafia")</f>
        <v>6th ST. Bug Mafia</v>
      </c>
      <c r="C215" s="139">
        <f>IFERROR(__xludf.DUMMYFUNCTION("""COMPUTED_VALUE"""),5.0)</f>
        <v>5</v>
      </c>
    </row>
    <row r="216">
      <c r="A216" s="139"/>
      <c r="B216" s="139" t="str">
        <f>IFERROR(__xludf.DUMMYFUNCTION("""COMPUTED_VALUE"""),"Honor Bugs")</f>
        <v>Honor Bugs</v>
      </c>
      <c r="C216" s="139">
        <f>IFERROR(__xludf.DUMMYFUNCTION("""COMPUTED_VALUE"""),7.0)</f>
        <v>7</v>
      </c>
    </row>
    <row r="217" hidden="1">
      <c r="A217" s="139"/>
      <c r="B217" s="139" t="str">
        <f>IFERROR(__xludf.DUMMYFUNCTION("""COMPUTED_VALUE"""),"L S M F T   ")</f>
        <v>L S M F T   </v>
      </c>
      <c r="C217" s="139">
        <f>IFERROR(__xludf.DUMMYFUNCTION("""COMPUTED_VALUE"""),16.0)</f>
        <v>16</v>
      </c>
    </row>
    <row r="218">
      <c r="A218" s="139"/>
      <c r="B218" s="139" t="str">
        <f>IFERROR(__xludf.DUMMYFUNCTION("""COMPUTED_VALUE"""),"TARFU")</f>
        <v>TARFU</v>
      </c>
      <c r="C218" s="139">
        <f>IFERROR(__xludf.DUMMYFUNCTION("""COMPUTED_VALUE"""),17.0)</f>
        <v>17</v>
      </c>
    </row>
    <row r="219">
      <c r="A219" s="139"/>
      <c r="B219" s="139" t="str">
        <f>IFERROR(__xludf.DUMMYFUNCTION("""COMPUTED_VALUE"""),"PT Totals")</f>
        <v>PT Totals</v>
      </c>
      <c r="C219" s="139">
        <f>IFERROR(__xludf.DUMMYFUNCTION("""COMPUTED_VALUE"""),7.0)</f>
        <v>7</v>
      </c>
    </row>
    <row r="220">
      <c r="A220" s="139"/>
      <c r="B220" s="139" t="str">
        <f>IFERROR(__xludf.DUMMYFUNCTION("""COMPUTED_VALUE"""),"Emerald")</f>
        <v>Emerald</v>
      </c>
      <c r="C220" s="139">
        <f>IFERROR(__xludf.DUMMYFUNCTION("""COMPUTED_VALUE"""),4.0)</f>
        <v>4</v>
      </c>
    </row>
    <row r="221">
      <c r="A221" s="139"/>
      <c r="B221" s="139" t="str">
        <f>IFERROR(__xludf.DUMMYFUNCTION("""COMPUTED_VALUE"""),"Carry - On")</f>
        <v>Carry - On</v>
      </c>
      <c r="C221" s="139">
        <f>IFERROR(__xludf.DUMMYFUNCTION("""COMPUTED_VALUE"""),6.0)</f>
        <v>6</v>
      </c>
    </row>
    <row r="222">
      <c r="A222" s="139"/>
      <c r="B222" s="139" t="str">
        <f>IFERROR(__xludf.DUMMYFUNCTION("""COMPUTED_VALUE"""),"Rimrock ")</f>
        <v>Rimrock </v>
      </c>
      <c r="C222" s="139">
        <f>IFERROR(__xludf.DUMMYFUNCTION("""COMPUTED_VALUE"""),8.0)</f>
        <v>8</v>
      </c>
    </row>
    <row r="223">
      <c r="A223" s="139"/>
      <c r="B223" s="139" t="str">
        <f>IFERROR(__xludf.DUMMYFUNCTION("""COMPUTED_VALUE"""),"Dune Bugs   ")</f>
        <v>Dune Bugs   </v>
      </c>
      <c r="C223" s="139">
        <f>IFERROR(__xludf.DUMMYFUNCTION("""COMPUTED_VALUE"""),9.0)</f>
        <v>9</v>
      </c>
    </row>
    <row r="224" hidden="1">
      <c r="A224" s="139"/>
      <c r="B224" s="139" t="str">
        <f>IFERROR(__xludf.DUMMYFUNCTION("""COMPUTED_VALUE"""),"Timber Toppers")</f>
        <v>Timber Toppers</v>
      </c>
      <c r="C224" s="139">
        <f>IFERROR(__xludf.DUMMYFUNCTION("""COMPUTED_VALUE"""),12.0)</f>
        <v>12</v>
      </c>
    </row>
    <row r="225">
      <c r="A225" s="139"/>
      <c r="B225" s="139" t="str">
        <f>IFERROR(__xludf.DUMMYFUNCTION("""COMPUTED_VALUE"""),"Luna Ticks")</f>
        <v>Luna Ticks</v>
      </c>
      <c r="C225" s="139">
        <f>IFERROR(__xludf.DUMMYFUNCTION("""COMPUTED_VALUE"""),23.0)</f>
        <v>23</v>
      </c>
    </row>
    <row r="226">
      <c r="A226" s="139"/>
      <c r="B226" s="139" t="str">
        <f>IFERROR(__xludf.DUMMYFUNCTION("""COMPUTED_VALUE"""),"PT Totals")</f>
        <v>PT Totals</v>
      </c>
      <c r="C226" s="139">
        <f>IFERROR(__xludf.DUMMYFUNCTION("""COMPUTED_VALUE"""),6.0)</f>
        <v>6</v>
      </c>
    </row>
    <row r="227">
      <c r="A227" s="139"/>
      <c r="B227" s="139" t="str">
        <f>IFERROR(__xludf.DUMMYFUNCTION("""COMPUTED_VALUE"""),"Honey Bucket Special")</f>
        <v>Honey Bucket Special</v>
      </c>
      <c r="C227" s="139">
        <f>IFERROR(__xludf.DUMMYFUNCTION("""COMPUTED_VALUE"""),1.0)</f>
        <v>1</v>
      </c>
    </row>
    <row r="228">
      <c r="A228" s="139"/>
      <c r="B228" s="139" t="str">
        <f>IFERROR(__xludf.DUMMYFUNCTION("""COMPUTED_VALUE"""),"Ee-Chi-Gae ")</f>
        <v>Ee-Chi-Gae </v>
      </c>
      <c r="C228" s="139">
        <f>IFERROR(__xludf.DUMMYFUNCTION("""COMPUTED_VALUE"""),2.0)</f>
        <v>2</v>
      </c>
    </row>
    <row r="229">
      <c r="A229" s="139"/>
      <c r="B229" s="139" t="str">
        <f>IFERROR(__xludf.DUMMYFUNCTION("""COMPUTED_VALUE"""),"Maeng Das")</f>
        <v>Maeng Das</v>
      </c>
      <c r="C229" s="139">
        <f>IFERROR(__xludf.DUMMYFUNCTION("""COMPUTED_VALUE"""),6.0)</f>
        <v>6</v>
      </c>
    </row>
    <row r="230">
      <c r="A230" s="139"/>
      <c r="B230" s="139" t="str">
        <f>IFERROR(__xludf.DUMMYFUNCTION("""COMPUTED_VALUE"""),"Kuto")</f>
        <v>Kuto</v>
      </c>
      <c r="C230" s="139">
        <f>IFERROR(__xludf.DUMMYFUNCTION("""COMPUTED_VALUE"""),7.0)</f>
        <v>7</v>
      </c>
    </row>
    <row r="231">
      <c r="A231" s="139"/>
      <c r="B231" s="139" t="str">
        <f>IFERROR(__xludf.DUMMYFUNCTION("""COMPUTED_VALUE"""),"Chokumchingo")</f>
        <v>Chokumchingo</v>
      </c>
      <c r="C231" s="139">
        <f>IFERROR(__xludf.DUMMYFUNCTION("""COMPUTED_VALUE"""),8.0)</f>
        <v>8</v>
      </c>
    </row>
    <row r="232">
      <c r="A232" s="139"/>
      <c r="B232" s="139" t="str">
        <f>IFERROR(__xludf.DUMMYFUNCTION("""COMPUTED_VALUE"""),"Kuripots ")</f>
        <v>Kuripots </v>
      </c>
      <c r="C232" s="139">
        <f>IFERROR(__xludf.DUMMYFUNCTION("""COMPUTED_VALUE"""),11.0)</f>
        <v>11</v>
      </c>
    </row>
    <row r="233" hidden="1">
      <c r="A233" s="139"/>
      <c r="B233" s="139" t="str">
        <f>IFERROR(__xludf.DUMMYFUNCTION("""COMPUTED_VALUE"""),"Telas Potgas")</f>
        <v>Telas Potgas</v>
      </c>
      <c r="C233" s="139">
        <f>IFERROR(__xludf.DUMMYFUNCTION("""COMPUTED_VALUE"""),13.0)</f>
        <v>13</v>
      </c>
    </row>
    <row r="234">
      <c r="A234" s="139"/>
      <c r="B234" s="139" t="str">
        <f>IFERROR(__xludf.DUMMYFUNCTION("""COMPUTED_VALUE"""),"Mighty Pinatubo")</f>
        <v>Mighty Pinatubo</v>
      </c>
      <c r="C234" s="139">
        <f>IFERROR(__xludf.DUMMYFUNCTION("""COMPUTED_VALUE"""),15.0)</f>
        <v>15</v>
      </c>
    </row>
    <row r="235">
      <c r="A235" s="139"/>
      <c r="B235" s="139" t="str">
        <f>IFERROR(__xludf.DUMMYFUNCTION("""COMPUTED_VALUE"""),"PT Totals")</f>
        <v>PT Totals</v>
      </c>
      <c r="C235" s="139">
        <f>IFERROR(__xludf.DUMMYFUNCTION("""COMPUTED_VALUE"""),8.0)</f>
        <v>8</v>
      </c>
    </row>
    <row r="236">
      <c r="A236" s="139"/>
      <c r="B236" s="139" t="str">
        <f>IFERROR(__xludf.DUMMYFUNCTION("""COMPUTED_VALUE"""),"Over The Top ")</f>
        <v>Over The Top </v>
      </c>
      <c r="C236" s="139">
        <f>IFERROR(__xludf.DUMMYFUNCTION("""COMPUTED_VALUE"""),18.0)</f>
        <v>18</v>
      </c>
    </row>
    <row r="237">
      <c r="A237" s="139"/>
      <c r="B237" s="139" t="str">
        <f>IFERROR(__xludf.DUMMYFUNCTION("""COMPUTED_VALUE"""),"Dirty Girty ")</f>
        <v>Dirty Girty </v>
      </c>
      <c r="C237" s="139">
        <f>IFERROR(__xludf.DUMMYFUNCTION("""COMPUTED_VALUE"""),29.0)</f>
        <v>29</v>
      </c>
    </row>
    <row r="238">
      <c r="A238" s="139"/>
      <c r="B238" s="139" t="str">
        <f>IFERROR(__xludf.DUMMYFUNCTION("""COMPUTED_VALUE"""),"Chuggin &amp; Chuck'n")</f>
        <v>Chuggin &amp; Chuck'n</v>
      </c>
      <c r="C238" s="139">
        <f>IFERROR(__xludf.DUMMYFUNCTION("""COMPUTED_VALUE"""),30.0)</f>
        <v>30</v>
      </c>
    </row>
    <row r="239">
      <c r="A239" s="139"/>
      <c r="B239" s="139" t="str">
        <f>IFERROR(__xludf.DUMMYFUNCTION("""COMPUTED_VALUE"""),"General Wayne")</f>
        <v>General Wayne</v>
      </c>
      <c r="C239" s="139">
        <f>IFERROR(__xludf.DUMMYFUNCTION("""COMPUTED_VALUE"""),33.0)</f>
        <v>33</v>
      </c>
    </row>
    <row r="240">
      <c r="A240" s="139"/>
      <c r="B240" s="139" t="str">
        <f>IFERROR(__xludf.DUMMYFUNCTION("""COMPUTED_VALUE"""),"Del-Val")</f>
        <v>Del-Val</v>
      </c>
      <c r="C240" s="139">
        <f>IFERROR(__xludf.DUMMYFUNCTION("""COMPUTED_VALUE"""),44.0)</f>
        <v>44</v>
      </c>
    </row>
    <row r="241">
      <c r="A241" s="139"/>
      <c r="B241" s="139" t="str">
        <f>IFERROR(__xludf.DUMMYFUNCTION("""COMPUTED_VALUE"""),"White Rose")</f>
        <v>White Rose</v>
      </c>
      <c r="C241" s="139">
        <f>IFERROR(__xludf.DUMMYFUNCTION("""COMPUTED_VALUE"""),45.0)</f>
        <v>45</v>
      </c>
    </row>
    <row r="242">
      <c r="A242" s="139"/>
      <c r="B242" s="139" t="str">
        <f>IFERROR(__xludf.DUMMYFUNCTION("""COMPUTED_VALUE"""),"Moshannon Valley")</f>
        <v>Moshannon Valley</v>
      </c>
      <c r="C242" s="139">
        <f>IFERROR(__xludf.DUMMYFUNCTION("""COMPUTED_VALUE"""),58.0)</f>
        <v>58</v>
      </c>
    </row>
    <row r="243">
      <c r="A243" s="139"/>
      <c r="B243" s="139" t="str">
        <f>IFERROR(__xludf.DUMMYFUNCTION("""COMPUTED_VALUE"""),"Pick - Em")</f>
        <v>Pick - Em</v>
      </c>
      <c r="C243" s="139">
        <f>IFERROR(__xludf.DUMMYFUNCTION("""COMPUTED_VALUE"""),59.0)</f>
        <v>59</v>
      </c>
    </row>
    <row r="244">
      <c r="A244" s="139"/>
      <c r="B244" s="139" t="str">
        <f>IFERROR(__xludf.DUMMYFUNCTION("""COMPUTED_VALUE"""),"Conococheague ")</f>
        <v>Conococheague </v>
      </c>
      <c r="C244" s="139">
        <f>IFERROR(__xludf.DUMMYFUNCTION("""COMPUTED_VALUE"""),72.0)</f>
        <v>72</v>
      </c>
    </row>
    <row r="245" hidden="1">
      <c r="A245" s="139"/>
      <c r="B245" s="139" t="str">
        <f>IFERROR(__xludf.DUMMYFUNCTION("""COMPUTED_VALUE"""),"Short Circuit")</f>
        <v>Short Circuit</v>
      </c>
      <c r="C245" s="139">
        <f>IFERROR(__xludf.DUMMYFUNCTION("""COMPUTED_VALUE"""),92.0)</f>
        <v>92</v>
      </c>
    </row>
    <row r="246">
      <c r="A246" s="139"/>
      <c r="B246" s="139" t="str">
        <f>IFERROR(__xludf.DUMMYFUNCTION("""COMPUTED_VALUE"""),"Scratchin' Dutchmen")</f>
        <v>Scratchin' Dutchmen</v>
      </c>
      <c r="C246" s="139">
        <f>IFERROR(__xludf.DUMMYFUNCTION("""COMPUTED_VALUE"""),99.0)</f>
        <v>99</v>
      </c>
    </row>
    <row r="247">
      <c r="A247" s="139"/>
      <c r="B247" s="139" t="str">
        <f>IFERROR(__xludf.DUMMYFUNCTION("""COMPUTED_VALUE"""),"PT Totals")</f>
        <v>PT Totals</v>
      </c>
      <c r="C247" s="139">
        <f>IFERROR(__xludf.DUMMYFUNCTION("""COMPUTED_VALUE"""),11.0)</f>
        <v>11</v>
      </c>
    </row>
    <row r="248">
      <c r="A248" s="139"/>
      <c r="B248" s="139" t="str">
        <f>IFERROR(__xludf.DUMMYFUNCTION("""COMPUTED_VALUE"""),"Sand Fleas  ")</f>
        <v>Sand Fleas  </v>
      </c>
      <c r="C248" s="139">
        <f>IFERROR(__xludf.DUMMYFUNCTION("""COMPUTED_VALUE"""),1.0)</f>
        <v>1</v>
      </c>
    </row>
    <row r="249">
      <c r="A249" s="139"/>
      <c r="B249" s="139" t="str">
        <f>IFERROR(__xludf.DUMMYFUNCTION("""COMPUTED_VALUE"""),"Spartan")</f>
        <v>Spartan</v>
      </c>
      <c r="C249" s="139">
        <f>IFERROR(__xludf.DUMMYFUNCTION("""COMPUTED_VALUE"""),3.0)</f>
        <v>3</v>
      </c>
    </row>
    <row r="250">
      <c r="A250" s="139"/>
      <c r="B250" s="139" t="str">
        <f>IFERROR(__xludf.DUMMYFUNCTION("""COMPUTED_VALUE"""),"Only The Strong ")</f>
        <v>Only The Strong </v>
      </c>
      <c r="C250" s="139">
        <f>IFERROR(__xludf.DUMMYFUNCTION("""COMPUTED_VALUE"""),9.0)</f>
        <v>9</v>
      </c>
    </row>
    <row r="251">
      <c r="A251" s="139"/>
      <c r="B251" s="139" t="str">
        <f>IFERROR(__xludf.DUMMYFUNCTION("""COMPUTED_VALUE"""),"Crummy Bugs")</f>
        <v>Crummy Bugs</v>
      </c>
      <c r="C251" s="139">
        <f>IFERROR(__xludf.DUMMYFUNCTION("""COMPUTED_VALUE"""),10.0)</f>
        <v>10</v>
      </c>
    </row>
    <row r="252" hidden="1">
      <c r="A252" s="139"/>
      <c r="B252" s="139" t="str">
        <f>IFERROR(__xludf.DUMMYFUNCTION("""COMPUTED_VALUE"""),"Sandlappers ")</f>
        <v>Sandlappers </v>
      </c>
      <c r="C252" s="139">
        <f>IFERROR(__xludf.DUMMYFUNCTION("""COMPUTED_VALUE"""),13.0)</f>
        <v>13</v>
      </c>
    </row>
    <row r="253">
      <c r="A253" s="139"/>
      <c r="B253" s="139" t="str">
        <f>IFERROR(__xludf.DUMMYFUNCTION("""COMPUTED_VALUE"""),"Night Walkers")</f>
        <v>Night Walkers</v>
      </c>
      <c r="C253" s="139">
        <f>IFERROR(__xludf.DUMMYFUNCTION("""COMPUTED_VALUE"""),15.0)</f>
        <v>15</v>
      </c>
    </row>
    <row r="254">
      <c r="A254" s="139"/>
      <c r="B254" s="139" t="str">
        <f>IFERROR(__xludf.DUMMYFUNCTION("""COMPUTED_VALUE"""),"PT Totals")</f>
        <v>PT Totals</v>
      </c>
      <c r="C254" s="139">
        <f>IFERROR(__xludf.DUMMYFUNCTION("""COMPUTED_VALUE"""),6.0)</f>
        <v>6</v>
      </c>
    </row>
    <row r="255">
      <c r="A255" s="139"/>
      <c r="B255" s="139" t="str">
        <f>IFERROR(__xludf.DUMMYFUNCTION("""COMPUTED_VALUE"""),"Big Sioux Ticks")</f>
        <v>Big Sioux Ticks</v>
      </c>
      <c r="C255" s="139">
        <f>IFERROR(__xludf.DUMMYFUNCTION("""COMPUTED_VALUE"""),1.0)</f>
        <v>1</v>
      </c>
    </row>
    <row r="256" hidden="1">
      <c r="A256" s="139"/>
      <c r="B256" s="139" t="str">
        <f>IFERROR(__xludf.DUMMYFUNCTION("""COMPUTED_VALUE"""),"Big Aggie ")</f>
        <v>Big Aggie </v>
      </c>
      <c r="C256" s="139">
        <f>IFERROR(__xludf.DUMMYFUNCTION("""COMPUTED_VALUE"""),12.0)</f>
        <v>12</v>
      </c>
    </row>
    <row r="257">
      <c r="A257" s="139"/>
      <c r="B257" s="139" t="str">
        <f>IFERROR(__xludf.DUMMYFUNCTION("""COMPUTED_VALUE"""),"Rushmore ")</f>
        <v>Rushmore </v>
      </c>
      <c r="C257" s="139">
        <f>IFERROR(__xludf.DUMMYFUNCTION("""COMPUTED_VALUE"""),20.0)</f>
        <v>20</v>
      </c>
    </row>
    <row r="258">
      <c r="A258" s="139"/>
      <c r="B258" s="139" t="str">
        <f>IFERROR(__xludf.DUMMYFUNCTION("""COMPUTED_VALUE"""),"PT Totals")</f>
        <v>PT Totals</v>
      </c>
      <c r="C258" s="139">
        <f>IFERROR(__xludf.DUMMYFUNCTION("""COMPUTED_VALUE"""),3.0)</f>
        <v>3</v>
      </c>
    </row>
    <row r="259">
      <c r="A259" s="139"/>
      <c r="B259" s="139" t="str">
        <f>IFERROR(__xludf.DUMMYFUNCTION("""COMPUTED_VALUE"""),"Cumberlands")</f>
        <v>Cumberlands</v>
      </c>
      <c r="C259" s="139">
        <f>IFERROR(__xludf.DUMMYFUNCTION("""COMPUTED_VALUE"""),4.0)</f>
        <v>4</v>
      </c>
    </row>
    <row r="260" hidden="1">
      <c r="A260" s="139"/>
      <c r="B260" s="139" t="str">
        <f>IFERROR(__xludf.DUMMYFUNCTION("""COMPUTED_VALUE"""),"Sunuppers")</f>
        <v>Sunuppers</v>
      </c>
      <c r="C260" s="139">
        <f>IFERROR(__xludf.DUMMYFUNCTION("""COMPUTED_VALUE"""),5.0)</f>
        <v>5</v>
      </c>
    </row>
    <row r="261">
      <c r="A261" s="139"/>
      <c r="B261" s="139" t="str">
        <f>IFERROR(__xludf.DUMMYFUNCTION("""COMPUTED_VALUE"""),"Shelby Angels")</f>
        <v>Shelby Angels</v>
      </c>
      <c r="C261" s="139">
        <f>IFERROR(__xludf.DUMMYFUNCTION("""COMPUTED_VALUE"""),26.0)</f>
        <v>26</v>
      </c>
    </row>
    <row r="262">
      <c r="A262" s="139"/>
      <c r="B262" s="139" t="str">
        <f>IFERROR(__xludf.DUMMYFUNCTION("""COMPUTED_VALUE"""),"PT Totals")</f>
        <v>PT Totals</v>
      </c>
      <c r="C262" s="139">
        <f>IFERROR(__xludf.DUMMYFUNCTION("""COMPUTED_VALUE"""),3.0)</f>
        <v>3</v>
      </c>
    </row>
    <row r="263">
      <c r="A263" s="139"/>
      <c r="B263" s="139" t="str">
        <f>IFERROR(__xludf.DUMMYFUNCTION("""COMPUTED_VALUE"""),"Ouch")</f>
        <v>Ouch</v>
      </c>
      <c r="C263" s="139">
        <f>IFERROR(__xludf.DUMMYFUNCTION("""COMPUTED_VALUE"""),5.0)</f>
        <v>5</v>
      </c>
    </row>
    <row r="264">
      <c r="A264" s="139"/>
      <c r="B264" s="139" t="str">
        <f>IFERROR(__xludf.DUMMYFUNCTION("""COMPUTED_VALUE"""),"Korny Krew")</f>
        <v>Korny Krew</v>
      </c>
      <c r="C264" s="139">
        <f>IFERROR(__xludf.DUMMYFUNCTION("""COMPUTED_VALUE"""),8.0)</f>
        <v>8</v>
      </c>
    </row>
    <row r="265">
      <c r="A265" s="139"/>
      <c r="B265" s="139" t="str">
        <f>IFERROR(__xludf.DUMMYFUNCTION("""COMPUTED_VALUE"""),"Krewe De Sanfu")</f>
        <v>Krewe De Sanfu</v>
      </c>
      <c r="C265" s="139">
        <f>IFERROR(__xludf.DUMMYFUNCTION("""COMPUTED_VALUE"""),10.0)</f>
        <v>10</v>
      </c>
    </row>
    <row r="266">
      <c r="A266" s="139"/>
      <c r="B266" s="139" t="str">
        <f>IFERROR(__xludf.DUMMYFUNCTION("""COMPUTED_VALUE"""),"Let's Do It")</f>
        <v>Let's Do It</v>
      </c>
      <c r="C266" s="139">
        <f>IFERROR(__xludf.DUMMYFUNCTION("""COMPUTED_VALUE"""),11.0)</f>
        <v>11</v>
      </c>
    </row>
    <row r="267">
      <c r="A267" s="139"/>
      <c r="B267" s="139" t="str">
        <f>IFERROR(__xludf.DUMMYFUNCTION("""COMPUTED_VALUE"""),"Dood It")</f>
        <v>Dood It</v>
      </c>
      <c r="C267" s="139">
        <f>IFERROR(__xludf.DUMMYFUNCTION("""COMPUTED_VALUE"""),13.0)</f>
        <v>13</v>
      </c>
    </row>
    <row r="268">
      <c r="A268" s="139"/>
      <c r="B268" s="139" t="str">
        <f>IFERROR(__xludf.DUMMYFUNCTION("""COMPUTED_VALUE"""),"Half Shells")</f>
        <v>Half Shells</v>
      </c>
      <c r="C268" s="139">
        <f>IFERROR(__xludf.DUMMYFUNCTION("""COMPUTED_VALUE"""),35.0)</f>
        <v>35</v>
      </c>
    </row>
    <row r="269">
      <c r="A269" s="139"/>
      <c r="B269" s="139" t="str">
        <f>IFERROR(__xludf.DUMMYFUNCTION("""COMPUTED_VALUE"""),"Three Acres")</f>
        <v>Three Acres</v>
      </c>
      <c r="C269" s="139">
        <f>IFERROR(__xludf.DUMMYFUNCTION("""COMPUTED_VALUE"""),36.0)</f>
        <v>36</v>
      </c>
    </row>
    <row r="270">
      <c r="A270" s="139"/>
      <c r="B270" s="139" t="str">
        <f>IFERROR(__xludf.DUMMYFUNCTION("""COMPUTED_VALUE"""),"Lucky 37")</f>
        <v>Lucky 37</v>
      </c>
      <c r="C270" s="139">
        <f>IFERROR(__xludf.DUMMYFUNCTION("""COMPUTED_VALUE"""),37.0)</f>
        <v>37</v>
      </c>
    </row>
    <row r="271">
      <c r="A271" s="139"/>
      <c r="B271" s="139" t="str">
        <f>IFERROR(__xludf.DUMMYFUNCTION("""COMPUTED_VALUE"""),"Uckishe")</f>
        <v>Uckishe</v>
      </c>
      <c r="C271" s="139">
        <f>IFERROR(__xludf.DUMMYFUNCTION("""COMPUTED_VALUE"""),55.0)</f>
        <v>55</v>
      </c>
    </row>
    <row r="272" hidden="1">
      <c r="A272" s="139"/>
      <c r="B272" s="139" t="str">
        <f>IFERROR(__xludf.DUMMYFUNCTION("""COMPUTED_VALUE"""),"Leanderthal Nits")</f>
        <v>Leanderthal Nits</v>
      </c>
      <c r="C272" s="139">
        <f>IFERROR(__xludf.DUMMYFUNCTION("""COMPUTED_VALUE"""),69.0)</f>
        <v>69</v>
      </c>
    </row>
    <row r="273">
      <c r="A273" s="139"/>
      <c r="B273" s="139" t="str">
        <f>IFERROR(__xludf.DUMMYFUNCTION("""COMPUTED_VALUE"""),"Armadillo")</f>
        <v>Armadillo</v>
      </c>
      <c r="C273" s="139">
        <f>IFERROR(__xludf.DUMMYFUNCTION("""COMPUTED_VALUE"""),88.0)</f>
        <v>88</v>
      </c>
    </row>
    <row r="274">
      <c r="A274" s="139"/>
      <c r="B274" s="139" t="str">
        <f>IFERROR(__xludf.DUMMYFUNCTION("""COMPUTED_VALUE"""),"PT Totals")</f>
        <v>PT Totals</v>
      </c>
      <c r="C274" s="139">
        <f>IFERROR(__xludf.DUMMYFUNCTION("""COMPUTED_VALUE"""),11.0)</f>
        <v>11</v>
      </c>
    </row>
    <row r="275">
      <c r="A275" s="139"/>
      <c r="B275" s="139" t="str">
        <f>IFERROR(__xludf.DUMMYFUNCTION("""COMPUTED_VALUE"""),"Ocean View Toads")</f>
        <v>Ocean View Toads</v>
      </c>
      <c r="C275" s="139">
        <f>IFERROR(__xludf.DUMMYFUNCTION("""COMPUTED_VALUE"""),1.0)</f>
        <v>1</v>
      </c>
    </row>
    <row r="276">
      <c r="A276" s="139"/>
      <c r="B276" s="139" t="str">
        <f>IFERROR(__xludf.DUMMYFUNCTION("""COMPUTED_VALUE"""),"Norfolk Crabs")</f>
        <v>Norfolk Crabs</v>
      </c>
      <c r="C276" s="139">
        <f>IFERROR(__xludf.DUMMYFUNCTION("""COMPUTED_VALUE"""),2.0)</f>
        <v>2</v>
      </c>
    </row>
    <row r="277">
      <c r="A277" s="139"/>
      <c r="B277" s="139" t="str">
        <f>IFERROR(__xludf.DUMMYFUNCTION("""COMPUTED_VALUE"""),"Peninsula Fleas ")</f>
        <v>Peninsula Fleas </v>
      </c>
      <c r="C277" s="139">
        <f>IFERROR(__xludf.DUMMYFUNCTION("""COMPUTED_VALUE"""),5.0)</f>
        <v>5</v>
      </c>
    </row>
    <row r="278">
      <c r="A278" s="139"/>
      <c r="B278" s="139" t="str">
        <f>IFERROR(__xludf.DUMMYFUNCTION("""COMPUTED_VALUE"""),"Virginia Beach Coots ")</f>
        <v>Virginia Beach Coots </v>
      </c>
      <c r="C278" s="139">
        <f>IFERROR(__xludf.DUMMYFUNCTION("""COMPUTED_VALUE"""),9.0)</f>
        <v>9</v>
      </c>
    </row>
    <row r="279">
      <c r="A279" s="139"/>
      <c r="B279" s="139" t="str">
        <f>IFERROR(__xludf.DUMMYFUNCTION("""COMPUTED_VALUE"""),"BoonDockers")</f>
        <v>BoonDockers</v>
      </c>
      <c r="C279" s="139">
        <f>IFERROR(__xludf.DUMMYFUNCTION("""COMPUTED_VALUE"""),11.0)</f>
        <v>11</v>
      </c>
    </row>
    <row r="280">
      <c r="A280" s="139"/>
      <c r="B280" s="139" t="str">
        <f>IFERROR(__xludf.DUMMYFUNCTION("""COMPUTED_VALUE"""),"Rowdy Rebels")</f>
        <v>Rowdy Rebels</v>
      </c>
      <c r="C280" s="139">
        <f>IFERROR(__xludf.DUMMYFUNCTION("""COMPUTED_VALUE"""),13.0)</f>
        <v>13</v>
      </c>
    </row>
    <row r="281">
      <c r="A281" s="139"/>
      <c r="B281" s="139" t="str">
        <f>IFERROR(__xludf.DUMMYFUNCTION("""COMPUTED_VALUE"""),"Da-Lec-Ity")</f>
        <v>Da-Lec-Ity</v>
      </c>
      <c r="C281" s="139">
        <f>IFERROR(__xludf.DUMMYFUNCTION("""COMPUTED_VALUE"""),14.0)</f>
        <v>14</v>
      </c>
    </row>
    <row r="282">
      <c r="A282" s="139"/>
      <c r="B282" s="139" t="str">
        <f>IFERROR(__xludf.DUMMYFUNCTION("""COMPUTED_VALUE"""),"Lee-Si-Bugs")</f>
        <v>Lee-Si-Bugs</v>
      </c>
      <c r="C282" s="139">
        <f>IFERROR(__xludf.DUMMYFUNCTION("""COMPUTED_VALUE"""),17.0)</f>
        <v>17</v>
      </c>
    </row>
    <row r="283">
      <c r="A283" s="139"/>
      <c r="B283" s="139" t="str">
        <f>IFERROR(__xludf.DUMMYFUNCTION("""COMPUTED_VALUE"""),"Colonial Coots")</f>
        <v>Colonial Coots</v>
      </c>
      <c r="C283" s="139">
        <f>IFERROR(__xludf.DUMMYFUNCTION("""COMPUTED_VALUE"""),18.0)</f>
        <v>18</v>
      </c>
    </row>
    <row r="284" hidden="1">
      <c r="A284" s="139"/>
      <c r="B284" s="139" t="str">
        <f>IFERROR(__xludf.DUMMYFUNCTION("""COMPUTED_VALUE"""),"Fred Gnats")</f>
        <v>Fred Gnats</v>
      </c>
      <c r="C284" s="139">
        <f>IFERROR(__xludf.DUMMYFUNCTION("""COMPUTED_VALUE"""),19.0)</f>
        <v>19</v>
      </c>
    </row>
    <row r="285">
      <c r="A285" s="139"/>
      <c r="B285" s="139" t="str">
        <f>IFERROR(__xludf.DUMMYFUNCTION("""COMPUTED_VALUE"""),"Ridge Runners")</f>
        <v>Ridge Runners</v>
      </c>
      <c r="C285" s="139">
        <f>IFERROR(__xludf.DUMMYFUNCTION("""COMPUTED_VALUE"""),21.0)</f>
        <v>21</v>
      </c>
    </row>
    <row r="286">
      <c r="A286" s="139"/>
      <c r="B286" s="139" t="str">
        <f>IFERROR(__xludf.DUMMYFUNCTION("""COMPUTED_VALUE"""),"PT Totals")</f>
        <v>PT Totals</v>
      </c>
      <c r="C286" s="139">
        <f>IFERROR(__xludf.DUMMYFUNCTION("""COMPUTED_VALUE"""),11.0)</f>
        <v>11</v>
      </c>
    </row>
    <row r="287">
      <c r="A287" s="139"/>
      <c r="B287" s="139" t="str">
        <f>IFERROR(__xludf.DUMMYFUNCTION("""COMPUTED_VALUE"""),"Yur-a-bum")</f>
        <v>Yur-a-bum</v>
      </c>
      <c r="C287" s="139">
        <f>IFERROR(__xludf.DUMMYFUNCTION("""COMPUTED_VALUE"""),3.0)</f>
        <v>3</v>
      </c>
    </row>
    <row r="288">
      <c r="A288" s="139"/>
      <c r="B288" s="139" t="str">
        <f>IFERROR(__xludf.DUMMYFUNCTION("""COMPUTED_VALUE"""),"Tahoma Warriors")</f>
        <v>Tahoma Warriors</v>
      </c>
      <c r="C288" s="139">
        <f>IFERROR(__xludf.DUMMYFUNCTION("""COMPUTED_VALUE"""),4.0)</f>
        <v>4</v>
      </c>
    </row>
    <row r="289">
      <c r="A289" s="139"/>
      <c r="B289" s="139" t="str">
        <f>IFERROR(__xludf.DUMMYFUNCTION("""COMPUTED_VALUE"""),"Sasquatch")</f>
        <v>Sasquatch</v>
      </c>
      <c r="C289" s="139">
        <f>IFERROR(__xludf.DUMMYFUNCTION("""COMPUTED_VALUE"""),5.0)</f>
        <v>5</v>
      </c>
    </row>
    <row r="290">
      <c r="A290" s="139"/>
      <c r="B290" s="139" t="str">
        <f>IFERROR(__xludf.DUMMYFUNCTION("""COMPUTED_VALUE"""),"Van Orc")</f>
        <v>Van Orc</v>
      </c>
      <c r="C290" s="139">
        <f>IFERROR(__xludf.DUMMYFUNCTION("""COMPUTED_VALUE"""),6.0)</f>
        <v>6</v>
      </c>
    </row>
    <row r="291">
      <c r="A291" s="139"/>
      <c r="B291" s="139" t="str">
        <f>IFERROR(__xludf.DUMMYFUNCTION("""COMPUTED_VALUE"""),"Engine No. 7")</f>
        <v>Engine No. 7</v>
      </c>
      <c r="C291" s="139">
        <f>IFERROR(__xludf.DUMMYFUNCTION("""COMPUTED_VALUE"""),7.0)</f>
        <v>7</v>
      </c>
    </row>
    <row r="292">
      <c r="A292" s="139"/>
      <c r="B292" s="139" t="str">
        <f>IFERROR(__xludf.DUMMYFUNCTION("""COMPUTED_VALUE"""),"Crazy Eights")</f>
        <v>Crazy Eights</v>
      </c>
      <c r="C292" s="139">
        <f>IFERROR(__xludf.DUMMYFUNCTION("""COMPUTED_VALUE"""),8.0)</f>
        <v>8</v>
      </c>
    </row>
    <row r="293">
      <c r="A293" s="139"/>
      <c r="B293" s="139" t="str">
        <f>IFERROR(__xludf.DUMMYFUNCTION("""COMPUTED_VALUE"""),"Heap Good")</f>
        <v>Heap Good</v>
      </c>
      <c r="C293" s="139">
        <f>IFERROR(__xludf.DUMMYFUNCTION("""COMPUTED_VALUE"""),9.0)</f>
        <v>9</v>
      </c>
    </row>
    <row r="294" hidden="1">
      <c r="A294" s="139"/>
      <c r="B294" s="139" t="str">
        <f>IFERROR(__xludf.DUMMYFUNCTION("""COMPUTED_VALUE"""),"Lucky Eleven ")</f>
        <v>Lucky Eleven </v>
      </c>
      <c r="C294" s="139">
        <f>IFERROR(__xludf.DUMMYFUNCTION("""COMPUTED_VALUE"""),11.0)</f>
        <v>11</v>
      </c>
    </row>
    <row r="295">
      <c r="A295" s="139"/>
      <c r="B295" s="139" t="str">
        <f>IFERROR(__xludf.DUMMYFUNCTION("""COMPUTED_VALUE"""),"Chuckanut")</f>
        <v>Chuckanut</v>
      </c>
      <c r="C295" s="139">
        <f>IFERROR(__xludf.DUMMYFUNCTION("""COMPUTED_VALUE"""),18.0)</f>
        <v>18</v>
      </c>
    </row>
    <row r="296" hidden="1">
      <c r="A296" s="139"/>
      <c r="B296" s="139" t="str">
        <f>IFERROR(__xludf.DUMMYFUNCTION("""COMPUTED_VALUE"""),"PT Totals")</f>
        <v>PT Totals</v>
      </c>
      <c r="C296" s="139">
        <f>IFERROR(__xludf.DUMMYFUNCTION("""COMPUTED_VALUE"""),9.0)</f>
        <v>9</v>
      </c>
    </row>
    <row r="297">
      <c r="A297" s="139"/>
      <c r="B297" s="139" t="str">
        <f>IFERROR(__xludf.DUMMYFUNCTION("""COMPUTED_VALUE"""),"Badger ")</f>
        <v>Badger </v>
      </c>
      <c r="C297" s="139">
        <f>IFERROR(__xludf.DUMMYFUNCTION("""COMPUTED_VALUE"""),6.0)</f>
        <v>6</v>
      </c>
    </row>
    <row r="298">
      <c r="A298" s="139"/>
      <c r="B298" s="139" t="str">
        <f>IFERROR(__xludf.DUMMYFUNCTION("""COMPUTED_VALUE"""),"Wacha Kalit  ")</f>
        <v>Wacha Kalit  </v>
      </c>
      <c r="C298" s="139">
        <f>IFERROR(__xludf.DUMMYFUNCTION("""COMPUTED_VALUE"""),9.0)</f>
        <v>9</v>
      </c>
    </row>
    <row r="299">
      <c r="A299" s="139"/>
      <c r="B299" s="139" t="str">
        <f>IFERROR(__xludf.DUMMYFUNCTION("""COMPUTED_VALUE"""),"Tornado")</f>
        <v>Tornado</v>
      </c>
      <c r="C299" s="139">
        <f>IFERROR(__xludf.DUMMYFUNCTION("""COMPUTED_VALUE"""),14.0)</f>
        <v>14</v>
      </c>
    </row>
    <row r="300">
      <c r="A300" s="139"/>
      <c r="B300" s="139" t="str">
        <f>IFERROR(__xludf.DUMMYFUNCTION("""COMPUTED_VALUE"""),"Who? What?")</f>
        <v>Who? What?</v>
      </c>
      <c r="C300" s="139">
        <f>IFERROR(__xludf.DUMMYFUNCTION("""COMPUTED_VALUE"""),21.0)</f>
        <v>21</v>
      </c>
    </row>
    <row r="301">
      <c r="A301" s="139"/>
      <c r="B301" s="139" t="str">
        <f>IFERROR(__xludf.DUMMYFUNCTION("""COMPUTED_VALUE"""),"Short Arm ")</f>
        <v>Short Arm </v>
      </c>
      <c r="C301" s="139">
        <f>IFERROR(__xludf.DUMMYFUNCTION("""COMPUTED_VALUE"""),23.0)</f>
        <v>23</v>
      </c>
    </row>
    <row r="302">
      <c r="A302" s="139"/>
      <c r="B302" s="139" t="str">
        <f>IFERROR(__xludf.DUMMYFUNCTION("""COMPUTED_VALUE"""),"Wat-O-Ma")</f>
        <v>Wat-O-Ma</v>
      </c>
      <c r="C302" s="139">
        <f>IFERROR(__xludf.DUMMYFUNCTION("""COMPUTED_VALUE"""),38.0)</f>
        <v>38</v>
      </c>
    </row>
    <row r="303">
      <c r="A303" s="139"/>
      <c r="B303" s="139" t="str">
        <f>IFERROR(__xludf.DUMMYFUNCTION("""COMPUTED_VALUE"""),"Mad City")</f>
        <v>Mad City</v>
      </c>
      <c r="C303" s="139">
        <f>IFERROR(__xludf.DUMMYFUNCTION("""COMPUTED_VALUE"""),41.0)</f>
        <v>41</v>
      </c>
    </row>
    <row r="304" hidden="1">
      <c r="A304" s="139"/>
      <c r="B304" s="139" t="str">
        <f>IFERROR(__xludf.DUMMYFUNCTION("""COMPUTED_VALUE"""),"PT Totals")</f>
        <v>PT Totals</v>
      </c>
      <c r="C304" s="139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